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Investment Property Spreads" sheetId="1" r:id="rId1"/>
    <sheet name="Personal Draw" sheetId="2" r:id="rId2"/>
  </sheets>
  <definedNames>
    <definedName name="Balance_sheet">#REF!</definedName>
    <definedName name="Collateral">#REF!</definedName>
    <definedName name="CoverPage">#REF!</definedName>
    <definedName name="PFS">#REF!</definedName>
    <definedName name="_xlnm.Print_Area" localSheetId="0">'Investment Property Spreads'!$A$1:$O$71</definedName>
    <definedName name="_xlnm.Print_Area" localSheetId="1">'Personal Draw'!$A$2:$G$44</definedName>
  </definedNames>
  <calcPr fullCalcOnLoad="1"/>
</workbook>
</file>

<file path=xl/sharedStrings.xml><?xml version="1.0" encoding="utf-8"?>
<sst xmlns="http://schemas.openxmlformats.org/spreadsheetml/2006/main" count="148" uniqueCount="118">
  <si>
    <t>Over $1,000,001</t>
  </si>
  <si>
    <t>Over $700,001</t>
  </si>
  <si>
    <t>From $150,001 to $700,000</t>
  </si>
  <si>
    <t>Under $150,000</t>
  </si>
  <si>
    <t>SBA Guaranteed portion</t>
  </si>
  <si>
    <t>Guaranty %</t>
  </si>
  <si>
    <t>SBA Loan Amount</t>
  </si>
  <si>
    <t>LOAN-TO-VALUE (LTV)</t>
  </si>
  <si>
    <t>VALUE COVERAGE- NET</t>
  </si>
  <si>
    <t>TOTAL</t>
  </si>
  <si>
    <t>Inventory @</t>
  </si>
  <si>
    <t>Machinery &amp; Equipment (Restaurant) @</t>
  </si>
  <si>
    <t>Machinery &amp; Equipment (Industrial) @</t>
  </si>
  <si>
    <t xml:space="preserve">Residential Property </t>
  </si>
  <si>
    <t>Commercial Property @</t>
  </si>
  <si>
    <t>&lt;Enter text here (limited to 2567 characters)&gt;</t>
  </si>
  <si>
    <t>Factor</t>
  </si>
  <si>
    <t>Value</t>
  </si>
  <si>
    <t>Method</t>
  </si>
  <si>
    <t>Liens</t>
  </si>
  <si>
    <t>Cost</t>
  </si>
  <si>
    <t>DEAL SUMMARY:</t>
  </si>
  <si>
    <t>Liquidation</t>
  </si>
  <si>
    <t>Senior</t>
  </si>
  <si>
    <t>Market</t>
  </si>
  <si>
    <t>COLLATERAL INFORMATION:</t>
  </si>
  <si>
    <t>DEBT SERVICE COVERAGE</t>
  </si>
  <si>
    <t>Blended Term:</t>
  </si>
  <si>
    <t>Cash Margin</t>
  </si>
  <si>
    <t>Total</t>
  </si>
  <si>
    <t>Total Debt Service</t>
  </si>
  <si>
    <t>Seller Note / Other</t>
  </si>
  <si>
    <t>Closing Costs</t>
  </si>
  <si>
    <t>LOAN P&amp;I</t>
  </si>
  <si>
    <t>Payment Reserve (conventional only)</t>
  </si>
  <si>
    <t>Partner Buy-Out</t>
  </si>
  <si>
    <t>Available for Debt Service</t>
  </si>
  <si>
    <t>Refinance Existing Debt - Real Estate</t>
  </si>
  <si>
    <t>+ Interest</t>
  </si>
  <si>
    <t>Construction/Renovations *</t>
  </si>
  <si>
    <t>+ Depreciation</t>
  </si>
  <si>
    <t>Net Income</t>
  </si>
  <si>
    <t>Purchase Land &amp; Improvements</t>
  </si>
  <si>
    <t>Other</t>
  </si>
  <si>
    <t>Applicant</t>
  </si>
  <si>
    <t>Purpose</t>
  </si>
  <si>
    <t>Project</t>
  </si>
  <si>
    <t>Seller</t>
  </si>
  <si>
    <t>SOURCES AND USES:</t>
  </si>
  <si>
    <t>% Change</t>
  </si>
  <si>
    <t>MONTHS</t>
  </si>
  <si>
    <t xml:space="preserve"> </t>
  </si>
  <si>
    <t>YEAR</t>
  </si>
  <si>
    <t>Referral Source</t>
  </si>
  <si>
    <t>T/R</t>
  </si>
  <si>
    <t>Source:</t>
  </si>
  <si>
    <t>CASH FLOW:</t>
  </si>
  <si>
    <t>Email</t>
  </si>
  <si>
    <t>Phone</t>
  </si>
  <si>
    <t>CONTACT INFORMATION:</t>
  </si>
  <si>
    <t>Rate</t>
  </si>
  <si>
    <t>504/Conventional w/ Bridge</t>
  </si>
  <si>
    <t>Loan Type:</t>
  </si>
  <si>
    <t>Loan Amount:</t>
  </si>
  <si>
    <t>Spread:</t>
  </si>
  <si>
    <t>SBA 7(a)</t>
  </si>
  <si>
    <t>Term (mos):</t>
  </si>
  <si>
    <t>Index:</t>
  </si>
  <si>
    <t>Deal Name:</t>
  </si>
  <si>
    <t>Annually</t>
  </si>
  <si>
    <t>Monthly</t>
  </si>
  <si>
    <t>Term (mos)</t>
  </si>
  <si>
    <t>Loan</t>
  </si>
  <si>
    <t>GENERAL DEAL INFORMATION:</t>
  </si>
  <si>
    <t>Conventional/Investment Property</t>
  </si>
  <si>
    <t>Date Prepared:</t>
  </si>
  <si>
    <t>PROPOSED LOAN SUMMARY (PLS)</t>
  </si>
  <si>
    <t>Balance</t>
  </si>
  <si>
    <t>Credit Cards</t>
  </si>
  <si>
    <t>Draw</t>
  </si>
  <si>
    <t>Income</t>
  </si>
  <si>
    <t>Required</t>
  </si>
  <si>
    <t>Outside</t>
  </si>
  <si>
    <t>Owner's Draw Required</t>
  </si>
  <si>
    <t xml:space="preserve">  justification required)</t>
  </si>
  <si>
    <t>(if greater than 45%, additional</t>
  </si>
  <si>
    <t>Leverage Factor</t>
  </si>
  <si>
    <t>Total Fixed Debts</t>
  </si>
  <si>
    <t xml:space="preserve"> (complete below)</t>
  </si>
  <si>
    <t>Installment</t>
  </si>
  <si>
    <t>Auto</t>
  </si>
  <si>
    <t>Second Mortgage</t>
  </si>
  <si>
    <t>Taxes &amp; Insurance</t>
  </si>
  <si>
    <t>Mortgage</t>
  </si>
  <si>
    <t>Shaded Areas Are Calculated</t>
  </si>
  <si>
    <t>Use for all deals</t>
  </si>
  <si>
    <t>Company ABC</t>
  </si>
  <si>
    <t>Conventional 504</t>
  </si>
  <si>
    <t>Rents Received</t>
  </si>
  <si>
    <t>Other income CAM</t>
  </si>
  <si>
    <t>Total Revenue</t>
  </si>
  <si>
    <t>Loan Amount</t>
  </si>
  <si>
    <t>Loan Amont</t>
  </si>
  <si>
    <t>Borrower</t>
  </si>
  <si>
    <t>-Taxes</t>
  </si>
  <si>
    <t>-Advertising</t>
  </si>
  <si>
    <t>-Cleaning &amp; Maintenance</t>
  </si>
  <si>
    <t>-Insurance</t>
  </si>
  <si>
    <t>-Professional Fess</t>
  </si>
  <si>
    <t>-Interest</t>
  </si>
  <si>
    <t>-Utilities</t>
  </si>
  <si>
    <t>-All other Expense</t>
  </si>
  <si>
    <t>Total Expenses</t>
  </si>
  <si>
    <t>-Management Fee 5%</t>
  </si>
  <si>
    <t>-Vacancy 5%</t>
  </si>
  <si>
    <t>-Depreciation</t>
  </si>
  <si>
    <t>Land</t>
  </si>
  <si>
    <t>Bridge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</si>
</sst>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_);&quot;$&quot;#,##0"/>
    <numFmt numFmtId="166" formatCode="&quot;$&quot;#,##0"/>
    <numFmt numFmtId="167" formatCode="&quot;$&quot;#,##0;\-&quot;$&quot;#,##0"/>
    <numFmt numFmtId="168" formatCode="&quot;$&quot;#,##0_);&quot;0&quot;"/>
    <numFmt numFmtId="169" formatCode="&quot;$&quot;#,##0;&quot;0&quot;"/>
    <numFmt numFmtId="170" formatCode="_(&quot;$&quot;* #,##0_);_(&quot;$&quot;* \(#,##0\);_(&quot;$&quot;* &quot;-&quot;??_);_(@_)"/>
    <numFmt numFmtId="171" formatCode="0.0"/>
    <numFmt numFmtId="172" formatCode="[&lt;=9999999]###\-####;\(###\)\ ###\-####"/>
    <numFmt numFmtId="173" formatCode="m\-d\-yy"/>
    <numFmt numFmtId="174" formatCode="&quot;$&quot;#,##0.00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>
        <color indexed="63"/>
      </left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59" applyFont="1" applyBorder="1" applyAlignment="1" applyProtection="1">
      <alignment horizontal="left"/>
      <protection locked="0"/>
    </xf>
    <xf numFmtId="0" fontId="2" fillId="0" borderId="11" xfId="59" applyFont="1" applyBorder="1" applyAlignment="1" applyProtection="1">
      <alignment horizontal="left"/>
      <protection locked="0"/>
    </xf>
    <xf numFmtId="0" fontId="2" fillId="0" borderId="0" xfId="59" applyFont="1" applyAlignment="1" applyProtection="1">
      <alignment horizontal="left"/>
      <protection locked="0"/>
    </xf>
    <xf numFmtId="0" fontId="2" fillId="0" borderId="12" xfId="59" applyFont="1" applyBorder="1" applyAlignment="1" applyProtection="1">
      <alignment horizontal="left"/>
      <protection locked="0"/>
    </xf>
    <xf numFmtId="40" fontId="2" fillId="0" borderId="11" xfId="44" applyFont="1" applyBorder="1" applyAlignment="1">
      <alignment horizontal="left"/>
    </xf>
    <xf numFmtId="10" fontId="2" fillId="0" borderId="0" xfId="59" applyNumberFormat="1" applyFont="1" applyAlignment="1" applyProtection="1">
      <alignment horizontal="left"/>
      <protection locked="0"/>
    </xf>
    <xf numFmtId="38" fontId="2" fillId="0" borderId="0" xfId="44" applyNumberFormat="1" applyFont="1" applyAlignment="1">
      <alignment horizontal="left"/>
    </xf>
    <xf numFmtId="0" fontId="4" fillId="0" borderId="0" xfId="59" applyFont="1" applyAlignment="1">
      <alignment horizontal="left"/>
      <protection/>
    </xf>
    <xf numFmtId="10" fontId="2" fillId="0" borderId="0" xfId="63" applyNumberFormat="1" applyFont="1" applyAlignment="1">
      <alignment horizontal="left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2" fillId="0" borderId="16" xfId="59" applyFont="1" applyBorder="1" applyAlignment="1" applyProtection="1">
      <alignment horizontal="left"/>
      <protection locked="0"/>
    </xf>
    <xf numFmtId="0" fontId="4" fillId="0" borderId="10" xfId="59" applyFont="1" applyBorder="1" applyAlignment="1" applyProtection="1">
      <alignment horizontal="left"/>
      <protection locked="0"/>
    </xf>
    <xf numFmtId="38" fontId="2" fillId="0" borderId="10" xfId="44" applyNumberFormat="1" applyFont="1" applyBorder="1" applyAlignment="1">
      <alignment horizontal="left"/>
    </xf>
    <xf numFmtId="0" fontId="2" fillId="0" borderId="17" xfId="59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/>
      <protection locked="0"/>
    </xf>
    <xf numFmtId="164" fontId="6" fillId="32" borderId="13" xfId="0" applyNumberFormat="1" applyFont="1" applyFill="1" applyBorder="1" applyAlignment="1">
      <alignment horizontal="center"/>
    </xf>
    <xf numFmtId="10" fontId="7" fillId="32" borderId="14" xfId="63" applyNumberFormat="1" applyFont="1" applyFill="1" applyBorder="1" applyAlignment="1">
      <alignment/>
    </xf>
    <xf numFmtId="10" fontId="8" fillId="32" borderId="14" xfId="63" applyNumberFormat="1" applyFont="1" applyFill="1" applyBorder="1" applyAlignment="1">
      <alignment/>
    </xf>
    <xf numFmtId="0" fontId="7" fillId="32" borderId="14" xfId="0" applyFont="1" applyFill="1" applyBorder="1" applyAlignment="1">
      <alignment horizontal="center"/>
    </xf>
    <xf numFmtId="10" fontId="8" fillId="32" borderId="14" xfId="0" applyNumberFormat="1" applyFont="1" applyFill="1" applyBorder="1" applyAlignment="1">
      <alignment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32" borderId="18" xfId="0" applyFont="1" applyFill="1" applyBorder="1" applyAlignment="1">
      <alignment/>
    </xf>
    <xf numFmtId="165" fontId="7" fillId="32" borderId="19" xfId="0" applyNumberFormat="1" applyFont="1" applyFill="1" applyBorder="1" applyAlignment="1">
      <alignment/>
    </xf>
    <xf numFmtId="0" fontId="9" fillId="32" borderId="19" xfId="0" applyFont="1" applyFill="1" applyBorder="1" applyAlignment="1">
      <alignment/>
    </xf>
    <xf numFmtId="166" fontId="7" fillId="32" borderId="19" xfId="45" applyNumberFormat="1" applyFont="1" applyFill="1" applyBorder="1" applyAlignment="1">
      <alignment/>
    </xf>
    <xf numFmtId="0" fontId="7" fillId="0" borderId="12" xfId="0" applyFont="1" applyBorder="1" applyAlignment="1" applyProtection="1">
      <alignment/>
      <protection locked="0"/>
    </xf>
    <xf numFmtId="165" fontId="8" fillId="32" borderId="19" xfId="0" applyNumberFormat="1" applyFont="1" applyFill="1" applyBorder="1" applyAlignment="1">
      <alignment/>
    </xf>
    <xf numFmtId="166" fontId="7" fillId="32" borderId="19" xfId="0" applyNumberFormat="1" applyFont="1" applyFill="1" applyBorder="1" applyAlignment="1">
      <alignment horizontal="right"/>
    </xf>
    <xf numFmtId="166" fontId="7" fillId="32" borderId="19" xfId="0" applyNumberFormat="1" applyFont="1" applyFill="1" applyBorder="1" applyAlignment="1">
      <alignment/>
    </xf>
    <xf numFmtId="167" fontId="8" fillId="32" borderId="19" xfId="0" applyNumberFormat="1" applyFont="1" applyFill="1" applyBorder="1" applyAlignment="1">
      <alignment/>
    </xf>
    <xf numFmtId="0" fontId="7" fillId="0" borderId="0" xfId="0" applyFont="1" applyAlignment="1" applyProtection="1">
      <alignment horizontal="center"/>
      <protection locked="0"/>
    </xf>
    <xf numFmtId="9" fontId="9" fillId="0" borderId="0" xfId="0" applyNumberFormat="1" applyFont="1" applyAlignment="1" applyProtection="1">
      <alignment horizontal="center"/>
      <protection locked="0"/>
    </xf>
    <xf numFmtId="164" fontId="6" fillId="32" borderId="18" xfId="0" applyNumberFormat="1" applyFont="1" applyFill="1" applyBorder="1" applyAlignment="1">
      <alignment horizontal="center"/>
    </xf>
    <xf numFmtId="164" fontId="6" fillId="32" borderId="11" xfId="0" applyNumberFormat="1" applyFont="1" applyFill="1" applyBorder="1" applyAlignment="1">
      <alignment horizontal="center"/>
    </xf>
    <xf numFmtId="168" fontId="7" fillId="32" borderId="0" xfId="0" applyNumberFormat="1" applyFont="1" applyFill="1" applyAlignment="1">
      <alignment/>
    </xf>
    <xf numFmtId="168" fontId="8" fillId="32" borderId="0" xfId="0" applyNumberFormat="1" applyFont="1" applyFill="1" applyAlignment="1">
      <alignment horizontal="right"/>
    </xf>
    <xf numFmtId="167" fontId="8" fillId="32" borderId="0" xfId="0" applyNumberFormat="1" applyFont="1" applyFill="1" applyAlignment="1">
      <alignment/>
    </xf>
    <xf numFmtId="167" fontId="8" fillId="32" borderId="0" xfId="0" applyNumberFormat="1" applyFont="1" applyFill="1" applyAlignment="1">
      <alignment horizontal="right"/>
    </xf>
    <xf numFmtId="9" fontId="9" fillId="0" borderId="20" xfId="0" applyNumberFormat="1" applyFont="1" applyBorder="1" applyAlignment="1">
      <alignment horizontal="center"/>
    </xf>
    <xf numFmtId="169" fontId="9" fillId="0" borderId="21" xfId="0" applyNumberFormat="1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/>
      <protection locked="0"/>
    </xf>
    <xf numFmtId="167" fontId="9" fillId="0" borderId="21" xfId="0" applyNumberFormat="1" applyFont="1" applyBorder="1" applyAlignment="1" applyProtection="1">
      <alignment horizontal="center"/>
      <protection locked="0"/>
    </xf>
    <xf numFmtId="5" fontId="9" fillId="0" borderId="21" xfId="0" applyNumberFormat="1" applyFont="1" applyBorder="1" applyAlignment="1" applyProtection="1">
      <alignment/>
      <protection locked="0"/>
    </xf>
    <xf numFmtId="9" fontId="9" fillId="0" borderId="22" xfId="0" applyNumberFormat="1" applyFont="1" applyBorder="1" applyAlignment="1">
      <alignment horizontal="center"/>
    </xf>
    <xf numFmtId="169" fontId="9" fillId="0" borderId="23" xfId="0" applyNumberFormat="1" applyFont="1" applyBorder="1" applyAlignment="1">
      <alignment/>
    </xf>
    <xf numFmtId="169" fontId="9" fillId="0" borderId="23" xfId="0" applyNumberFormat="1" applyFont="1" applyBorder="1" applyAlignment="1" applyProtection="1">
      <alignment/>
      <protection locked="0"/>
    </xf>
    <xf numFmtId="166" fontId="9" fillId="0" borderId="23" xfId="45" applyNumberFormat="1" applyFont="1" applyBorder="1" applyAlignment="1" applyProtection="1">
      <alignment horizontal="right"/>
      <protection locked="0"/>
    </xf>
    <xf numFmtId="167" fontId="9" fillId="0" borderId="23" xfId="0" applyNumberFormat="1" applyFont="1" applyBorder="1" applyAlignment="1" applyProtection="1">
      <alignment/>
      <protection locked="0"/>
    </xf>
    <xf numFmtId="5" fontId="9" fillId="0" borderId="23" xfId="0" applyNumberFormat="1" applyFont="1" applyBorder="1" applyAlignment="1" applyProtection="1">
      <alignment/>
      <protection locked="0"/>
    </xf>
    <xf numFmtId="170" fontId="9" fillId="0" borderId="21" xfId="45" applyNumberFormat="1" applyFont="1" applyBorder="1" applyAlignment="1" applyProtection="1">
      <alignment horizontal="center"/>
      <protection locked="0"/>
    </xf>
    <xf numFmtId="167" fontId="9" fillId="0" borderId="21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vertical="top" wrapText="1"/>
      <protection locked="0"/>
    </xf>
    <xf numFmtId="9" fontId="9" fillId="0" borderId="11" xfId="0" applyNumberFormat="1" applyFont="1" applyBorder="1" applyAlignment="1">
      <alignment horizontal="center"/>
    </xf>
    <xf numFmtId="169" fontId="9" fillId="0" borderId="0" xfId="0" applyNumberFormat="1" applyFont="1" applyAlignment="1" applyProtection="1">
      <alignment/>
      <protection locked="0"/>
    </xf>
    <xf numFmtId="170" fontId="9" fillId="0" borderId="0" xfId="45" applyNumberFormat="1" applyFont="1" applyAlignment="1" applyProtection="1">
      <alignment horizontal="center"/>
      <protection locked="0"/>
    </xf>
    <xf numFmtId="167" fontId="9" fillId="0" borderId="0" xfId="0" applyNumberFormat="1" applyFont="1" applyAlignment="1" applyProtection="1">
      <alignment/>
      <protection locked="0"/>
    </xf>
    <xf numFmtId="5" fontId="9" fillId="0" borderId="0" xfId="0" applyNumberFormat="1" applyFont="1" applyAlignment="1" applyProtection="1">
      <alignment/>
      <protection locked="0"/>
    </xf>
    <xf numFmtId="169" fontId="9" fillId="0" borderId="0" xfId="0" applyNumberFormat="1" applyFont="1" applyAlignment="1">
      <alignment/>
    </xf>
    <xf numFmtId="166" fontId="9" fillId="0" borderId="0" xfId="45" applyNumberFormat="1" applyFont="1" applyAlignment="1" applyProtection="1">
      <alignment horizontal="right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164" fontId="7" fillId="0" borderId="24" xfId="0" applyNumberFormat="1" applyFont="1" applyBorder="1" applyAlignment="1" applyProtection="1">
      <alignment horizontal="center"/>
      <protection locked="0"/>
    </xf>
    <xf numFmtId="165" fontId="7" fillId="0" borderId="25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9" fontId="7" fillId="0" borderId="0" xfId="63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2" fontId="8" fillId="32" borderId="27" xfId="0" applyNumberFormat="1" applyFont="1" applyFill="1" applyBorder="1" applyAlignment="1">
      <alignment/>
    </xf>
    <xf numFmtId="1" fontId="12" fillId="0" borderId="14" xfId="0" applyNumberFormat="1" applyFont="1" applyBorder="1" applyAlignment="1" applyProtection="1">
      <alignment/>
      <protection locked="0"/>
    </xf>
    <xf numFmtId="0" fontId="8" fillId="0" borderId="15" xfId="0" applyFont="1" applyBorder="1" applyAlignment="1" applyProtection="1" quotePrefix="1">
      <alignment/>
      <protection locked="0"/>
    </xf>
    <xf numFmtId="9" fontId="7" fillId="0" borderId="13" xfId="63" applyFont="1" applyBorder="1" applyAlignment="1">
      <alignment horizontal="center"/>
    </xf>
    <xf numFmtId="9" fontId="7" fillId="0" borderId="14" xfId="63" applyFont="1" applyBorder="1" applyAlignment="1">
      <alignment horizontal="center"/>
    </xf>
    <xf numFmtId="1" fontId="9" fillId="0" borderId="14" xfId="0" applyNumberFormat="1" applyFont="1" applyBorder="1" applyAlignment="1">
      <alignment horizontal="left"/>
    </xf>
    <xf numFmtId="0" fontId="7" fillId="0" borderId="14" xfId="0" applyFont="1" applyBorder="1" applyAlignment="1" applyProtection="1">
      <alignment/>
      <protection locked="0"/>
    </xf>
    <xf numFmtId="171" fontId="12" fillId="0" borderId="0" xfId="0" applyNumberFormat="1" applyFont="1" applyAlignment="1">
      <alignment horizontal="left"/>
    </xf>
    <xf numFmtId="166" fontId="9" fillId="0" borderId="28" xfId="0" applyNumberFormat="1" applyFont="1" applyBorder="1" applyAlignment="1">
      <alignment/>
    </xf>
    <xf numFmtId="166" fontId="9" fillId="0" borderId="29" xfId="0" applyNumberFormat="1" applyFont="1" applyBorder="1" applyAlignment="1">
      <alignment/>
    </xf>
    <xf numFmtId="0" fontId="7" fillId="0" borderId="12" xfId="0" applyFont="1" applyBorder="1" applyAlignment="1" applyProtection="1">
      <alignment horizontal="left" indent="1"/>
      <protection locked="0"/>
    </xf>
    <xf numFmtId="5" fontId="8" fillId="32" borderId="30" xfId="0" applyNumberFormat="1" applyFont="1" applyFill="1" applyBorder="1" applyAlignment="1">
      <alignment/>
    </xf>
    <xf numFmtId="5" fontId="8" fillId="32" borderId="31" xfId="0" applyNumberFormat="1" applyFont="1" applyFill="1" applyBorder="1" applyAlignment="1">
      <alignment/>
    </xf>
    <xf numFmtId="5" fontId="8" fillId="32" borderId="21" xfId="0" applyNumberFormat="1" applyFont="1" applyFill="1" applyBorder="1" applyAlignment="1">
      <alignment/>
    </xf>
    <xf numFmtId="5" fontId="8" fillId="32" borderId="32" xfId="0" applyNumberFormat="1" applyFont="1" applyFill="1" applyBorder="1" applyAlignment="1">
      <alignment/>
    </xf>
    <xf numFmtId="0" fontId="7" fillId="32" borderId="0" xfId="0" applyFont="1" applyFill="1" applyAlignment="1">
      <alignment horizontal="right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 vertical="center" indent="1"/>
      <protection locked="0"/>
    </xf>
    <xf numFmtId="5" fontId="9" fillId="0" borderId="33" xfId="0" applyNumberFormat="1" applyFont="1" applyBorder="1" applyAlignment="1" applyProtection="1">
      <alignment/>
      <protection locked="0"/>
    </xf>
    <xf numFmtId="171" fontId="9" fillId="0" borderId="34" xfId="0" applyNumberFormat="1" applyFont="1" applyBorder="1" applyAlignment="1" applyProtection="1">
      <alignment horizontal="center"/>
      <protection locked="0"/>
    </xf>
    <xf numFmtId="167" fontId="12" fillId="0" borderId="28" xfId="0" applyNumberFormat="1" applyFont="1" applyBorder="1" applyAlignment="1" applyProtection="1">
      <alignment/>
      <protection locked="0"/>
    </xf>
    <xf numFmtId="167" fontId="12" fillId="0" borderId="29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171" fontId="9" fillId="0" borderId="12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/>
      <protection locked="0"/>
    </xf>
    <xf numFmtId="5" fontId="9" fillId="0" borderId="29" xfId="0" applyNumberFormat="1" applyFont="1" applyBorder="1" applyAlignment="1" applyProtection="1">
      <alignment/>
      <protection locked="0"/>
    </xf>
    <xf numFmtId="5" fontId="9" fillId="0" borderId="36" xfId="0" applyNumberFormat="1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71" fontId="9" fillId="0" borderId="37" xfId="0" applyNumberFormat="1" applyFont="1" applyBorder="1" applyAlignment="1" applyProtection="1">
      <alignment horizontal="center"/>
      <protection locked="0"/>
    </xf>
    <xf numFmtId="167" fontId="13" fillId="32" borderId="28" xfId="0" applyNumberFormat="1" applyFont="1" applyFill="1" applyBorder="1" applyAlignment="1">
      <alignment/>
    </xf>
    <xf numFmtId="167" fontId="13" fillId="32" borderId="29" xfId="0" applyNumberFormat="1" applyFont="1" applyFill="1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 horizontal="left" indent="1"/>
      <protection locked="0"/>
    </xf>
    <xf numFmtId="5" fontId="9" fillId="0" borderId="31" xfId="0" applyNumberFormat="1" applyFont="1" applyBorder="1" applyAlignment="1" applyProtection="1">
      <alignment/>
      <protection locked="0"/>
    </xf>
    <xf numFmtId="171" fontId="9" fillId="0" borderId="38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 quotePrefix="1">
      <alignment/>
      <protection locked="0"/>
    </xf>
    <xf numFmtId="167" fontId="12" fillId="32" borderId="29" xfId="0" applyNumberFormat="1" applyFont="1" applyFill="1" applyBorder="1" applyAlignment="1">
      <alignment/>
    </xf>
    <xf numFmtId="0" fontId="12" fillId="0" borderId="12" xfId="0" applyFont="1" applyBorder="1" applyAlignment="1" applyProtection="1" quotePrefix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0" fontId="14" fillId="0" borderId="12" xfId="0" applyFont="1" applyBorder="1" applyAlignment="1" applyProtection="1">
      <alignment/>
      <protection locked="0"/>
    </xf>
    <xf numFmtId="5" fontId="12" fillId="32" borderId="39" xfId="0" applyNumberFormat="1" applyFont="1" applyFill="1" applyBorder="1" applyAlignment="1">
      <alignment/>
    </xf>
    <xf numFmtId="5" fontId="9" fillId="0" borderId="40" xfId="0" applyNumberFormat="1" applyFont="1" applyBorder="1" applyAlignment="1" applyProtection="1">
      <alignment/>
      <protection locked="0"/>
    </xf>
    <xf numFmtId="171" fontId="9" fillId="0" borderId="41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66" fontId="12" fillId="0" borderId="29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/>
      <protection locked="0"/>
    </xf>
    <xf numFmtId="10" fontId="12" fillId="32" borderId="11" xfId="0" applyNumberFormat="1" applyFont="1" applyFill="1" applyBorder="1" applyAlignment="1">
      <alignment/>
    </xf>
    <xf numFmtId="10" fontId="12" fillId="32" borderId="0" xfId="0" applyNumberFormat="1" applyFont="1" applyFill="1" applyAlignment="1">
      <alignment/>
    </xf>
    <xf numFmtId="0" fontId="15" fillId="0" borderId="12" xfId="0" applyFont="1" applyBorder="1" applyAlignment="1" applyProtection="1">
      <alignment/>
      <protection locked="0"/>
    </xf>
    <xf numFmtId="1" fontId="8" fillId="0" borderId="1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/>
      <protection locked="0"/>
    </xf>
    <xf numFmtId="173" fontId="8" fillId="0" borderId="24" xfId="0" applyNumberFormat="1" applyFont="1" applyBorder="1" applyAlignment="1" applyProtection="1">
      <alignment horizontal="center"/>
      <protection locked="0"/>
    </xf>
    <xf numFmtId="173" fontId="8" fillId="0" borderId="25" xfId="0" applyNumberFormat="1" applyFont="1" applyBorder="1" applyAlignment="1" applyProtection="1">
      <alignment horizontal="center"/>
      <protection locked="0"/>
    </xf>
    <xf numFmtId="1" fontId="8" fillId="0" borderId="25" xfId="0" applyNumberFormat="1" applyFont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/>
      <protection locked="0"/>
    </xf>
    <xf numFmtId="0" fontId="2" fillId="0" borderId="43" xfId="0" applyFont="1" applyBorder="1" applyAlignment="1" applyProtection="1">
      <alignment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right"/>
      <protection locked="0"/>
    </xf>
    <xf numFmtId="166" fontId="4" fillId="32" borderId="13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0" fontId="2" fillId="32" borderId="14" xfId="0" applyFont="1" applyFill="1" applyBorder="1" applyAlignment="1">
      <alignment/>
    </xf>
    <xf numFmtId="10" fontId="2" fillId="32" borderId="14" xfId="0" applyNumberFormat="1" applyFont="1" applyFill="1" applyBorder="1" applyAlignment="1">
      <alignment/>
    </xf>
    <xf numFmtId="166" fontId="2" fillId="32" borderId="14" xfId="0" applyNumberFormat="1" applyFont="1" applyFill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2" fillId="0" borderId="44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 locked="0"/>
    </xf>
    <xf numFmtId="166" fontId="4" fillId="32" borderId="11" xfId="0" applyNumberFormat="1" applyFont="1" applyFill="1" applyBorder="1" applyAlignment="1">
      <alignment/>
    </xf>
    <xf numFmtId="174" fontId="4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10" fontId="2" fillId="32" borderId="0" xfId="0" applyNumberFormat="1" applyFont="1" applyFill="1" applyAlignment="1">
      <alignment/>
    </xf>
    <xf numFmtId="166" fontId="2" fillId="32" borderId="0" xfId="0" applyNumberFormat="1" applyFont="1" applyFill="1" applyAlignment="1">
      <alignment/>
    </xf>
    <xf numFmtId="0" fontId="17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7" fillId="0" borderId="14" xfId="0" applyFont="1" applyBorder="1" applyAlignment="1" applyProtection="1">
      <alignment horizontal="left"/>
      <protection locked="0"/>
    </xf>
    <xf numFmtId="0" fontId="17" fillId="0" borderId="33" xfId="0" applyFont="1" applyBorder="1" applyAlignment="1" applyProtection="1">
      <alignment horizontal="left"/>
      <protection locked="0"/>
    </xf>
    <xf numFmtId="10" fontId="2" fillId="32" borderId="14" xfId="63" applyNumberFormat="1" applyFont="1" applyFill="1" applyBorder="1" applyAlignment="1">
      <alignment horizontal="left"/>
    </xf>
    <xf numFmtId="170" fontId="2" fillId="32" borderId="18" xfId="45" applyNumberFormat="1" applyFont="1" applyFill="1" applyBorder="1" applyAlignment="1">
      <alignment horizontal="left"/>
    </xf>
    <xf numFmtId="0" fontId="17" fillId="0" borderId="46" xfId="0" applyFont="1" applyBorder="1" applyAlignment="1" applyProtection="1">
      <alignment horizontal="left"/>
      <protection locked="0"/>
    </xf>
    <xf numFmtId="10" fontId="2" fillId="0" borderId="21" xfId="63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18" fillId="0" borderId="24" xfId="0" applyFont="1" applyBorder="1" applyAlignment="1" applyProtection="1">
      <alignment horizontal="right"/>
      <protection locked="0"/>
    </xf>
    <xf numFmtId="0" fontId="18" fillId="0" borderId="25" xfId="0" applyFont="1" applyBorder="1" applyAlignment="1" applyProtection="1">
      <alignment horizontal="right"/>
      <protection locked="0"/>
    </xf>
    <xf numFmtId="0" fontId="2" fillId="0" borderId="47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" fillId="0" borderId="0" xfId="59" applyFont="1">
      <alignment/>
      <protection/>
    </xf>
    <xf numFmtId="6" fontId="2" fillId="32" borderId="48" xfId="47" applyNumberFormat="1" applyFont="1" applyFill="1" applyBorder="1" applyAlignment="1">
      <alignment/>
    </xf>
    <xf numFmtId="6" fontId="2" fillId="32" borderId="27" xfId="47" applyNumberFormat="1" applyFont="1" applyFill="1" applyBorder="1" applyAlignment="1">
      <alignment/>
    </xf>
    <xf numFmtId="0" fontId="2" fillId="32" borderId="49" xfId="59" applyFont="1" applyFill="1" applyBorder="1">
      <alignment/>
      <protection/>
    </xf>
    <xf numFmtId="38" fontId="2" fillId="0" borderId="28" xfId="44" applyNumberFormat="1" applyFont="1" applyBorder="1" applyAlignment="1">
      <alignment/>
    </xf>
    <xf numFmtId="38" fontId="2" fillId="0" borderId="50" xfId="44" applyNumberFormat="1" applyFont="1" applyBorder="1" applyAlignment="1">
      <alignment/>
    </xf>
    <xf numFmtId="0" fontId="2" fillId="0" borderId="51" xfId="59" applyFont="1" applyBorder="1">
      <alignment/>
      <protection/>
    </xf>
    <xf numFmtId="0" fontId="2" fillId="0" borderId="39" xfId="59" applyFont="1" applyBorder="1">
      <alignment/>
      <protection/>
    </xf>
    <xf numFmtId="0" fontId="2" fillId="0" borderId="52" xfId="59" applyFont="1" applyBorder="1">
      <alignment/>
      <protection/>
    </xf>
    <xf numFmtId="0" fontId="2" fillId="0" borderId="41" xfId="59" applyFont="1" applyBorder="1">
      <alignment/>
      <protection/>
    </xf>
    <xf numFmtId="6" fontId="2" fillId="32" borderId="0" xfId="59" applyNumberFormat="1" applyFont="1" applyFill="1" applyAlignment="1">
      <alignment horizontal="center"/>
      <protection/>
    </xf>
    <xf numFmtId="6" fontId="2" fillId="0" borderId="0" xfId="59" applyNumberFormat="1" applyFont="1" applyAlignment="1">
      <alignment horizontal="center"/>
      <protection/>
    </xf>
    <xf numFmtId="6" fontId="2" fillId="32" borderId="0" xfId="59" applyNumberFormat="1" applyFont="1" applyFill="1">
      <alignment/>
      <protection/>
    </xf>
    <xf numFmtId="0" fontId="2" fillId="0" borderId="0" xfId="59" applyFont="1" applyAlignment="1">
      <alignment horizontal="right"/>
      <protection/>
    </xf>
    <xf numFmtId="0" fontId="2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9" fontId="2" fillId="0" borderId="27" xfId="63" applyFont="1" applyBorder="1" applyAlignment="1">
      <alignment/>
    </xf>
    <xf numFmtId="0" fontId="2" fillId="0" borderId="49" xfId="59" applyFont="1" applyBorder="1">
      <alignment/>
      <protection/>
    </xf>
    <xf numFmtId="6" fontId="2" fillId="32" borderId="28" xfId="47" applyNumberFormat="1" applyFont="1" applyFill="1" applyBorder="1" applyAlignment="1">
      <alignment/>
    </xf>
    <xf numFmtId="6" fontId="2" fillId="32" borderId="29" xfId="47" applyNumberFormat="1" applyFont="1" applyFill="1" applyBorder="1" applyAlignment="1">
      <alignment/>
    </xf>
    <xf numFmtId="38" fontId="2" fillId="0" borderId="29" xfId="44" applyNumberFormat="1" applyFont="1" applyBorder="1" applyAlignment="1">
      <alignment/>
    </xf>
    <xf numFmtId="38" fontId="2" fillId="0" borderId="30" xfId="44" applyNumberFormat="1" applyFont="1" applyBorder="1" applyAlignment="1">
      <alignment/>
    </xf>
    <xf numFmtId="38" fontId="2" fillId="0" borderId="32" xfId="44" applyNumberFormat="1" applyFont="1" applyBorder="1" applyAlignment="1">
      <alignment/>
    </xf>
    <xf numFmtId="0" fontId="2" fillId="0" borderId="53" xfId="59" applyFont="1" applyBorder="1">
      <alignment/>
      <protection/>
    </xf>
    <xf numFmtId="38" fontId="2" fillId="32" borderId="30" xfId="44" applyNumberFormat="1" applyFont="1" applyFill="1" applyBorder="1" applyAlignment="1">
      <alignment/>
    </xf>
    <xf numFmtId="38" fontId="2" fillId="32" borderId="32" xfId="44" applyNumberFormat="1" applyFont="1" applyFill="1" applyBorder="1" applyAlignment="1">
      <alignment/>
    </xf>
    <xf numFmtId="0" fontId="2" fillId="0" borderId="38" xfId="59" applyFont="1" applyBorder="1">
      <alignment/>
      <protection/>
    </xf>
    <xf numFmtId="38" fontId="2" fillId="32" borderId="22" xfId="44" applyNumberFormat="1" applyFont="1" applyFill="1" applyBorder="1" applyAlignment="1">
      <alignment/>
    </xf>
    <xf numFmtId="38" fontId="2" fillId="32" borderId="54" xfId="44" applyNumberFormat="1" applyFont="1" applyFill="1" applyBorder="1" applyAlignment="1">
      <alignment/>
    </xf>
    <xf numFmtId="0" fontId="2" fillId="0" borderId="55" xfId="59" applyFont="1" applyBorder="1">
      <alignment/>
      <protection/>
    </xf>
    <xf numFmtId="38" fontId="2" fillId="0" borderId="56" xfId="44" applyNumberFormat="1" applyFont="1" applyBorder="1" applyAlignment="1">
      <alignment/>
    </xf>
    <xf numFmtId="38" fontId="2" fillId="0" borderId="54" xfId="44" applyNumberFormat="1" applyFont="1" applyBorder="1" applyAlignment="1">
      <alignment/>
    </xf>
    <xf numFmtId="0" fontId="2" fillId="0" borderId="57" xfId="59" applyFont="1" applyBorder="1">
      <alignment/>
      <protection/>
    </xf>
    <xf numFmtId="0" fontId="2" fillId="0" borderId="58" xfId="59" applyFont="1" applyBorder="1">
      <alignment/>
      <protection/>
    </xf>
    <xf numFmtId="0" fontId="2" fillId="0" borderId="59" xfId="59" applyFont="1" applyBorder="1">
      <alignment/>
      <protection/>
    </xf>
    <xf numFmtId="6" fontId="4" fillId="0" borderId="0" xfId="47" applyNumberFormat="1" applyFont="1" applyAlignment="1">
      <alignment horizontal="center"/>
    </xf>
    <xf numFmtId="0" fontId="4" fillId="0" borderId="0" xfId="59" applyFont="1" applyAlignment="1">
      <alignment horizontal="right"/>
      <protection/>
    </xf>
    <xf numFmtId="1" fontId="4" fillId="0" borderId="0" xfId="59" applyNumberFormat="1" applyFont="1" applyAlignment="1">
      <alignment horizontal="center"/>
      <protection/>
    </xf>
    <xf numFmtId="0" fontId="4" fillId="0" borderId="0" xfId="60" applyFont="1" applyAlignment="1">
      <alignment horizontal="left"/>
      <protection/>
    </xf>
    <xf numFmtId="0" fontId="2" fillId="4" borderId="0" xfId="59" applyFont="1" applyFill="1">
      <alignment/>
      <protection/>
    </xf>
    <xf numFmtId="0" fontId="22" fillId="4" borderId="0" xfId="59" applyFont="1" applyFill="1">
      <alignment/>
      <protection/>
    </xf>
    <xf numFmtId="0" fontId="2" fillId="0" borderId="14" xfId="0" applyFont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/>
      <protection locked="0"/>
    </xf>
    <xf numFmtId="166" fontId="12" fillId="32" borderId="29" xfId="63" applyNumberFormat="1" applyFont="1" applyFill="1" applyBorder="1" applyAlignment="1">
      <alignment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61" xfId="0" applyFont="1" applyBorder="1" applyAlignment="1" applyProtection="1">
      <alignment horizontal="left"/>
      <protection locked="0"/>
    </xf>
    <xf numFmtId="167" fontId="12" fillId="32" borderId="29" xfId="0" applyNumberFormat="1" applyFont="1" applyFill="1" applyBorder="1" applyAlignment="1" applyProtection="1">
      <alignment/>
      <protection locked="0"/>
    </xf>
    <xf numFmtId="0" fontId="7" fillId="0" borderId="12" xfId="0" applyFont="1" applyBorder="1" applyAlignment="1" applyProtection="1" quotePrefix="1">
      <alignment/>
      <protection locked="0"/>
    </xf>
    <xf numFmtId="167" fontId="12" fillId="33" borderId="29" xfId="0" applyNumberFormat="1" applyFont="1" applyFill="1" applyBorder="1" applyAlignment="1" applyProtection="1">
      <alignment/>
      <protection locked="0"/>
    </xf>
    <xf numFmtId="0" fontId="27" fillId="34" borderId="0" xfId="0" applyFont="1" applyFill="1" applyAlignment="1" applyProtection="1">
      <alignment/>
      <protection locked="0"/>
    </xf>
    <xf numFmtId="0" fontId="6" fillId="34" borderId="12" xfId="0" applyFont="1" applyFill="1" applyBorder="1" applyAlignment="1" applyProtection="1">
      <alignment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175" fontId="2" fillId="0" borderId="21" xfId="0" applyNumberFormat="1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52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49" fontId="2" fillId="0" borderId="64" xfId="0" applyNumberFormat="1" applyFont="1" applyBorder="1" applyAlignment="1" applyProtection="1">
      <alignment horizontal="left"/>
      <protection locked="0"/>
    </xf>
    <xf numFmtId="49" fontId="2" fillId="0" borderId="62" xfId="0" applyNumberFormat="1" applyFont="1" applyBorder="1" applyAlignment="1" applyProtection="1">
      <alignment/>
      <protection locked="0"/>
    </xf>
    <xf numFmtId="49" fontId="2" fillId="0" borderId="65" xfId="0" applyNumberFormat="1" applyFont="1" applyBorder="1" applyAlignment="1" applyProtection="1">
      <alignment/>
      <protection locked="0"/>
    </xf>
    <xf numFmtId="49" fontId="2" fillId="0" borderId="29" xfId="0" applyNumberFormat="1" applyFont="1" applyBorder="1" applyAlignment="1" applyProtection="1">
      <alignment horizontal="left"/>
      <protection locked="0"/>
    </xf>
    <xf numFmtId="49" fontId="2" fillId="0" borderId="28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72" fontId="2" fillId="0" borderId="29" xfId="0" applyNumberFormat="1" applyFont="1" applyBorder="1" applyAlignment="1" applyProtection="1">
      <alignment horizontal="left"/>
      <protection locked="0"/>
    </xf>
    <xf numFmtId="172" fontId="2" fillId="0" borderId="29" xfId="0" applyNumberFormat="1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left"/>
      <protection locked="0"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28" xfId="0" applyNumberFormat="1" applyFont="1" applyBorder="1" applyAlignment="1" applyProtection="1">
      <alignment/>
      <protection locked="0"/>
    </xf>
    <xf numFmtId="172" fontId="2" fillId="0" borderId="64" xfId="0" applyNumberFormat="1" applyFont="1" applyBorder="1" applyAlignment="1" applyProtection="1">
      <alignment horizontal="left"/>
      <protection locked="0"/>
    </xf>
    <xf numFmtId="172" fontId="2" fillId="0" borderId="63" xfId="0" applyNumberFormat="1" applyFont="1" applyBorder="1" applyAlignment="1" applyProtection="1">
      <alignment horizontal="left"/>
      <protection locked="0"/>
    </xf>
    <xf numFmtId="0" fontId="2" fillId="0" borderId="64" xfId="0" applyFont="1" applyBorder="1" applyAlignment="1" applyProtection="1">
      <alignment horizontal="left"/>
      <protection locked="0"/>
    </xf>
    <xf numFmtId="0" fontId="2" fillId="0" borderId="63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61" xfId="0" applyFont="1" applyBorder="1" applyAlignment="1" applyProtection="1">
      <alignment horizontal="left"/>
      <protection locked="0"/>
    </xf>
    <xf numFmtId="0" fontId="9" fillId="0" borderId="55" xfId="0" applyFont="1" applyBorder="1" applyAlignment="1" applyProtection="1">
      <alignment vertical="top" wrapText="1"/>
      <protection locked="0"/>
    </xf>
    <xf numFmtId="0" fontId="0" fillId="0" borderId="23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1" fontId="4" fillId="0" borderId="21" xfId="59" applyNumberFormat="1" applyFont="1" applyBorder="1" applyAlignment="1">
      <alignment horizontal="center"/>
      <protection/>
    </xf>
    <xf numFmtId="0" fontId="4" fillId="32" borderId="14" xfId="59" applyFont="1" applyFill="1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LX Spreads 02-01-03" xfId="44"/>
    <cellStyle name="Currency" xfId="45"/>
    <cellStyle name="Currency [0]" xfId="46"/>
    <cellStyle name="Currency_BLX Spreads 02-01-0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BLX Spreads 02-01-03" xfId="59"/>
    <cellStyle name="Normal_Hee Ja Choi Spread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showGridLines="0" tabSelected="1" zoomScale="85" zoomScaleNormal="85" zoomScaleSheetLayoutView="55" zoomScalePageLayoutView="0" workbookViewId="0" topLeftCell="A1">
      <selection activeCell="C43" sqref="C43"/>
    </sheetView>
  </sheetViews>
  <sheetFormatPr defaultColWidth="9.140625" defaultRowHeight="12.75"/>
  <cols>
    <col min="1" max="1" width="13.00390625" style="1" customWidth="1"/>
    <col min="2" max="2" width="22.57421875" style="1" customWidth="1"/>
    <col min="3" max="3" width="13.7109375" style="1" customWidth="1"/>
    <col min="4" max="4" width="11.28125" style="1" customWidth="1"/>
    <col min="5" max="5" width="13.00390625" style="1" customWidth="1"/>
    <col min="6" max="7" width="11.28125" style="1" customWidth="1"/>
    <col min="8" max="8" width="13.140625" style="1" customWidth="1"/>
    <col min="9" max="9" width="2.57421875" style="1" customWidth="1"/>
    <col min="10" max="10" width="14.00390625" style="1" customWidth="1"/>
    <col min="11" max="11" width="12.140625" style="1" customWidth="1"/>
    <col min="12" max="12" width="13.7109375" style="1" customWidth="1"/>
    <col min="13" max="17" width="12.7109375" style="1" customWidth="1"/>
    <col min="18" max="16384" width="9.140625" style="1" customWidth="1"/>
  </cols>
  <sheetData>
    <row r="1" spans="1:34" ht="18.75">
      <c r="A1" s="183" t="s">
        <v>76</v>
      </c>
      <c r="L1" s="248" t="s">
        <v>75</v>
      </c>
      <c r="M1" s="249"/>
      <c r="N1" s="247"/>
      <c r="O1" s="247"/>
      <c r="AH1" s="1" t="s">
        <v>65</v>
      </c>
    </row>
    <row r="2" spans="2:34" ht="10.5" customHeight="1" thickBot="1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AH2" s="1" t="s">
        <v>74</v>
      </c>
    </row>
    <row r="3" spans="1:34" ht="12.75">
      <c r="A3" s="80" t="s">
        <v>73</v>
      </c>
      <c r="B3" s="73"/>
      <c r="C3" s="73"/>
      <c r="D3" s="181"/>
      <c r="E3" s="73"/>
      <c r="F3" s="181"/>
      <c r="G3" s="73"/>
      <c r="H3" s="72"/>
      <c r="J3" s="80"/>
      <c r="K3" s="180" t="s">
        <v>72</v>
      </c>
      <c r="L3" s="180" t="s">
        <v>60</v>
      </c>
      <c r="M3" s="180" t="s">
        <v>71</v>
      </c>
      <c r="N3" s="180" t="s">
        <v>70</v>
      </c>
      <c r="O3" s="179" t="s">
        <v>69</v>
      </c>
      <c r="AH3" s="1" t="s">
        <v>61</v>
      </c>
    </row>
    <row r="4" spans="1:19" ht="15">
      <c r="A4" s="177" t="s">
        <v>68</v>
      </c>
      <c r="B4" s="272" t="s">
        <v>96</v>
      </c>
      <c r="C4" s="273"/>
      <c r="D4" s="175" t="s">
        <v>67</v>
      </c>
      <c r="E4" s="176">
        <v>0.055</v>
      </c>
      <c r="F4" s="175" t="s">
        <v>66</v>
      </c>
      <c r="H4" s="178">
        <v>300</v>
      </c>
      <c r="J4" s="138" t="s">
        <v>101</v>
      </c>
      <c r="K4" s="168">
        <v>500000</v>
      </c>
      <c r="L4" s="167">
        <f>IF(K4&lt;&gt;0,$E$6,0)</f>
        <v>0.0875</v>
      </c>
      <c r="M4" s="166">
        <f>IF(K4&lt;&gt;0,$H$4,0)</f>
        <v>300</v>
      </c>
      <c r="N4" s="165">
        <f>IF(K4=0,0,-PMT((L4)/12,(M4)-1,K4))</f>
        <v>4114.543758679907</v>
      </c>
      <c r="O4" s="164">
        <f>N4*12</f>
        <v>49374.525104158885</v>
      </c>
      <c r="P4" s="169"/>
      <c r="Q4" s="169"/>
      <c r="R4" s="169"/>
      <c r="S4" s="169"/>
    </row>
    <row r="5" spans="1:19" ht="12.75" customHeight="1">
      <c r="A5" s="177" t="s">
        <v>62</v>
      </c>
      <c r="B5" s="262" t="s">
        <v>74</v>
      </c>
      <c r="C5" s="262"/>
      <c r="D5" s="175" t="s">
        <v>64</v>
      </c>
      <c r="E5" s="176">
        <v>0.0325</v>
      </c>
      <c r="F5" s="175" t="s">
        <v>63</v>
      </c>
      <c r="H5" s="174">
        <f>K5</f>
        <v>0</v>
      </c>
      <c r="J5" s="138" t="s">
        <v>43</v>
      </c>
      <c r="K5" s="168">
        <f>F37</f>
        <v>0</v>
      </c>
      <c r="L5" s="167">
        <f>IF(K5&lt;&gt;0,$E$6,0)</f>
        <v>0</v>
      </c>
      <c r="M5" s="166">
        <f>IF(K5&lt;&gt;0,$H$4,0)</f>
        <v>0</v>
      </c>
      <c r="N5" s="165">
        <f>IF(K5=0,0)-PMT((L5)/12,(M5)-1,K5)</f>
        <v>0</v>
      </c>
      <c r="O5" s="164">
        <f>N5*12</f>
        <v>0</v>
      </c>
      <c r="P5" s="169"/>
      <c r="Q5" s="169"/>
      <c r="R5" s="169"/>
      <c r="S5" s="169"/>
    </row>
    <row r="6" spans="1:19" ht="12.75" customHeight="1" thickBot="1">
      <c r="A6" s="227"/>
      <c r="B6" s="228"/>
      <c r="C6" s="229"/>
      <c r="D6" s="225" t="s">
        <v>60</v>
      </c>
      <c r="E6" s="173">
        <f>E4+E5</f>
        <v>0.0875</v>
      </c>
      <c r="F6" s="172"/>
      <c r="G6" s="171"/>
      <c r="H6" s="170"/>
      <c r="J6" s="138" t="s">
        <v>43</v>
      </c>
      <c r="K6" s="168">
        <v>0</v>
      </c>
      <c r="L6" s="167">
        <f>IF(K6&lt;&gt;0,$E$6,0)</f>
        <v>0</v>
      </c>
      <c r="M6" s="166">
        <f>IF(K6&lt;&gt;0,$H$4,0)</f>
        <v>0</v>
      </c>
      <c r="N6" s="165">
        <f>IF(K6=0,0)-PMT((L6)/12,(M6)-1,K6)</f>
        <v>0</v>
      </c>
      <c r="O6" s="164">
        <f>N6*12</f>
        <v>0</v>
      </c>
      <c r="P6" s="169"/>
      <c r="Q6" s="169"/>
      <c r="R6" s="169"/>
      <c r="S6" s="169"/>
    </row>
    <row r="7" spans="10:15" ht="12.75" customHeight="1" thickBot="1">
      <c r="J7" s="138" t="s">
        <v>43</v>
      </c>
      <c r="K7" s="168">
        <v>0</v>
      </c>
      <c r="L7" s="167">
        <f>IF(K7&lt;&gt;0,$E$6,0)</f>
        <v>0</v>
      </c>
      <c r="M7" s="166">
        <f>IF(K7&lt;&gt;0,$H$4,0)</f>
        <v>0</v>
      </c>
      <c r="N7" s="165">
        <f>IF(K7=0,0)-PMT((L7)/12,(M7)-1,K7)</f>
        <v>0</v>
      </c>
      <c r="O7" s="164">
        <f>N7*12</f>
        <v>0</v>
      </c>
    </row>
    <row r="8" spans="1:15" ht="12.75" customHeight="1" thickBot="1">
      <c r="A8" s="163" t="s">
        <v>59</v>
      </c>
      <c r="B8" s="162"/>
      <c r="C8" s="162"/>
      <c r="D8" s="162" t="s">
        <v>58</v>
      </c>
      <c r="E8" s="162"/>
      <c r="F8" s="162" t="s">
        <v>57</v>
      </c>
      <c r="G8" s="162"/>
      <c r="H8" s="161"/>
      <c r="J8" s="160" t="s">
        <v>43</v>
      </c>
      <c r="K8" s="159">
        <v>0</v>
      </c>
      <c r="L8" s="158">
        <f>IF(K8&lt;&gt;0,$E$6,0)</f>
        <v>0</v>
      </c>
      <c r="M8" s="157">
        <f>IF(K8&lt;&gt;0,$H$4,0)</f>
        <v>0</v>
      </c>
      <c r="N8" s="156">
        <f>IF(K8=0,0)-PMT((L8)/12,(M8)-1,K8)</f>
        <v>0</v>
      </c>
      <c r="O8" s="155">
        <f>N8*12</f>
        <v>0</v>
      </c>
    </row>
    <row r="9" spans="1:8" ht="12.75" customHeight="1" thickBot="1">
      <c r="A9" s="30" t="s">
        <v>44</v>
      </c>
      <c r="B9" s="265"/>
      <c r="C9" s="265"/>
      <c r="D9" s="263"/>
      <c r="E9" s="263"/>
      <c r="F9" s="260"/>
      <c r="G9" s="260"/>
      <c r="H9" s="261"/>
    </row>
    <row r="10" spans="1:18" ht="12.75" customHeight="1" thickBot="1">
      <c r="A10" s="30" t="s">
        <v>43</v>
      </c>
      <c r="B10" s="254"/>
      <c r="C10" s="254"/>
      <c r="D10" s="264"/>
      <c r="E10" s="264"/>
      <c r="F10" s="266"/>
      <c r="G10" s="266"/>
      <c r="H10" s="267"/>
      <c r="J10" s="75" t="s">
        <v>56</v>
      </c>
      <c r="K10" s="154" t="s">
        <v>55</v>
      </c>
      <c r="L10" s="153" t="s">
        <v>54</v>
      </c>
      <c r="M10" s="153" t="s">
        <v>54</v>
      </c>
      <c r="N10" s="153" t="s">
        <v>54</v>
      </c>
      <c r="O10" s="139"/>
      <c r="R10" s="226"/>
    </row>
    <row r="11" spans="1:18" ht="15">
      <c r="A11" s="152" t="s">
        <v>53</v>
      </c>
      <c r="B11" s="265" t="s">
        <v>51</v>
      </c>
      <c r="C11" s="265"/>
      <c r="D11" s="263"/>
      <c r="E11" s="263"/>
      <c r="F11" s="260"/>
      <c r="G11" s="260"/>
      <c r="H11" s="261"/>
      <c r="J11" s="151" t="s">
        <v>52</v>
      </c>
      <c r="K11" s="150"/>
      <c r="L11" s="149">
        <v>39447</v>
      </c>
      <c r="M11" s="149">
        <v>39813</v>
      </c>
      <c r="N11" s="149">
        <v>40178</v>
      </c>
      <c r="O11" s="148">
        <v>40390</v>
      </c>
      <c r="R11" s="226"/>
    </row>
    <row r="12" spans="1:18" ht="15.75" thickBot="1">
      <c r="A12" s="147" t="s">
        <v>43</v>
      </c>
      <c r="B12" s="270" t="s">
        <v>51</v>
      </c>
      <c r="C12" s="271"/>
      <c r="D12" s="268"/>
      <c r="E12" s="269"/>
      <c r="F12" s="257"/>
      <c r="G12" s="258"/>
      <c r="H12" s="259"/>
      <c r="J12" s="146" t="s">
        <v>50</v>
      </c>
      <c r="K12" s="145"/>
      <c r="L12" s="145">
        <v>12</v>
      </c>
      <c r="M12" s="145">
        <v>12</v>
      </c>
      <c r="N12" s="145">
        <v>12</v>
      </c>
      <c r="O12" s="144">
        <v>12</v>
      </c>
      <c r="R12" s="226"/>
    </row>
    <row r="13" spans="10:18" ht="15.75" thickBot="1">
      <c r="J13" s="143" t="s">
        <v>49</v>
      </c>
      <c r="K13" s="112"/>
      <c r="L13" s="107"/>
      <c r="M13" s="142" t="e">
        <f>(M14-L14)/L14</f>
        <v>#DIV/0!</v>
      </c>
      <c r="N13" s="142" t="e">
        <f>(N14-M14)/M14</f>
        <v>#DIV/0!</v>
      </c>
      <c r="O13" s="141" t="e">
        <f>((O14*(12/O12))-N14)/N14</f>
        <v>#DIV/0!</v>
      </c>
      <c r="R13" s="226"/>
    </row>
    <row r="14" spans="1:18" ht="15">
      <c r="A14" s="80" t="s">
        <v>48</v>
      </c>
      <c r="B14" s="79"/>
      <c r="C14" s="140"/>
      <c r="D14" s="140"/>
      <c r="E14" s="140"/>
      <c r="F14" s="140"/>
      <c r="G14" s="140"/>
      <c r="H14" s="139"/>
      <c r="J14" s="128" t="s">
        <v>98</v>
      </c>
      <c r="K14" s="112"/>
      <c r="L14" s="135">
        <v>0</v>
      </c>
      <c r="M14" s="135">
        <v>0</v>
      </c>
      <c r="N14" s="135">
        <v>0</v>
      </c>
      <c r="O14" s="105">
        <v>200000</v>
      </c>
      <c r="Q14" s="106">
        <v>0</v>
      </c>
      <c r="R14" s="226"/>
    </row>
    <row r="15" spans="1:18" ht="15">
      <c r="A15" s="138"/>
      <c r="B15" s="137"/>
      <c r="C15" s="137"/>
      <c r="E15" s="40" t="s">
        <v>47</v>
      </c>
      <c r="F15" s="40"/>
      <c r="G15" s="40"/>
      <c r="H15" s="136" t="s">
        <v>46</v>
      </c>
      <c r="J15" s="128" t="s">
        <v>99</v>
      </c>
      <c r="K15" s="112"/>
      <c r="L15" s="135">
        <v>0</v>
      </c>
      <c r="M15" s="135">
        <v>0</v>
      </c>
      <c r="N15" s="135">
        <v>0</v>
      </c>
      <c r="O15" s="105">
        <v>0</v>
      </c>
      <c r="R15" s="226"/>
    </row>
    <row r="16" spans="1:18" ht="15.75" thickBot="1">
      <c r="A16" s="134"/>
      <c r="B16" s="133" t="s">
        <v>45</v>
      </c>
      <c r="C16" s="25"/>
      <c r="D16" s="40" t="s">
        <v>103</v>
      </c>
      <c r="E16" s="40" t="s">
        <v>43</v>
      </c>
      <c r="F16" s="84" t="s">
        <v>43</v>
      </c>
      <c r="G16" s="40" t="s">
        <v>102</v>
      </c>
      <c r="H16" s="132" t="s">
        <v>29</v>
      </c>
      <c r="J16" s="128" t="s">
        <v>100</v>
      </c>
      <c r="K16" s="112"/>
      <c r="L16" s="230">
        <f>SUM(L14:L15)</f>
        <v>0</v>
      </c>
      <c r="M16" s="230">
        <f>SUM(M14:M15)</f>
        <v>0</v>
      </c>
      <c r="N16" s="230">
        <f>SUM(N14:N15)</f>
        <v>0</v>
      </c>
      <c r="O16" s="230">
        <f>SUM(O14:O15)</f>
        <v>200000</v>
      </c>
      <c r="R16" s="226"/>
    </row>
    <row r="17" spans="1:18" ht="15.75" thickBot="1">
      <c r="A17" s="131"/>
      <c r="B17" s="250"/>
      <c r="C17" s="251"/>
      <c r="D17" s="130"/>
      <c r="E17" s="130"/>
      <c r="F17" s="130"/>
      <c r="G17" s="130"/>
      <c r="H17" s="129">
        <f aca="true" t="shared" si="0" ref="H17:H36">SUM(D17:G17)</f>
        <v>0</v>
      </c>
      <c r="J17" s="124" t="s">
        <v>105</v>
      </c>
      <c r="L17" s="106">
        <v>0</v>
      </c>
      <c r="M17" s="106">
        <v>0</v>
      </c>
      <c r="N17" s="106">
        <v>0</v>
      </c>
      <c r="O17" s="106">
        <v>0</v>
      </c>
      <c r="R17" s="226"/>
    </row>
    <row r="18" spans="1:18" ht="15.75" thickBot="1">
      <c r="A18" s="123"/>
      <c r="B18" s="231"/>
      <c r="C18" s="232"/>
      <c r="D18" s="122"/>
      <c r="E18" s="122"/>
      <c r="F18" s="122"/>
      <c r="G18" s="122"/>
      <c r="H18" s="129">
        <f t="shared" si="0"/>
        <v>0</v>
      </c>
      <c r="J18" s="124" t="s">
        <v>106</v>
      </c>
      <c r="L18" s="106">
        <v>0</v>
      </c>
      <c r="M18" s="106">
        <v>0</v>
      </c>
      <c r="N18" s="106">
        <v>0</v>
      </c>
      <c r="O18" s="106">
        <v>0</v>
      </c>
      <c r="R18" s="226"/>
    </row>
    <row r="19" spans="1:18" ht="15.75" thickBot="1">
      <c r="A19" s="123"/>
      <c r="B19" s="231"/>
      <c r="C19" s="232"/>
      <c r="D19" s="122"/>
      <c r="E19" s="122"/>
      <c r="F19" s="122"/>
      <c r="G19" s="122"/>
      <c r="H19" s="129">
        <f t="shared" si="0"/>
        <v>0</v>
      </c>
      <c r="J19" s="124" t="s">
        <v>107</v>
      </c>
      <c r="L19" s="106">
        <v>0</v>
      </c>
      <c r="M19" s="106">
        <v>0</v>
      </c>
      <c r="N19" s="106">
        <v>0</v>
      </c>
      <c r="O19" s="106">
        <v>3000</v>
      </c>
      <c r="R19" s="226"/>
    </row>
    <row r="20" spans="1:18" ht="15.75" thickBot="1">
      <c r="A20" s="123"/>
      <c r="B20" s="231"/>
      <c r="C20" s="232"/>
      <c r="D20" s="122"/>
      <c r="E20" s="122"/>
      <c r="F20" s="122"/>
      <c r="G20" s="122"/>
      <c r="H20" s="129">
        <f t="shared" si="0"/>
        <v>0</v>
      </c>
      <c r="J20" s="124" t="s">
        <v>108</v>
      </c>
      <c r="L20" s="106">
        <v>0</v>
      </c>
      <c r="M20" s="106">
        <v>0</v>
      </c>
      <c r="N20" s="106">
        <v>0</v>
      </c>
      <c r="O20" s="106">
        <v>0</v>
      </c>
      <c r="R20" s="226"/>
    </row>
    <row r="21" spans="1:18" ht="15.75" thickBot="1">
      <c r="A21" s="123"/>
      <c r="B21" s="231"/>
      <c r="C21" s="232"/>
      <c r="D21" s="122"/>
      <c r="E21" s="122"/>
      <c r="F21" s="122"/>
      <c r="G21" s="122"/>
      <c r="H21" s="129">
        <f t="shared" si="0"/>
        <v>0</v>
      </c>
      <c r="J21" s="234" t="s">
        <v>113</v>
      </c>
      <c r="L21" s="106">
        <v>0</v>
      </c>
      <c r="M21" s="106">
        <v>0</v>
      </c>
      <c r="N21" s="106">
        <v>0</v>
      </c>
      <c r="O21" s="106">
        <f>200000*0.05</f>
        <v>10000</v>
      </c>
      <c r="R21" s="226"/>
    </row>
    <row r="22" spans="1:18" ht="15.75" thickBot="1">
      <c r="A22" s="123"/>
      <c r="B22" s="231"/>
      <c r="C22" s="232"/>
      <c r="D22" s="122"/>
      <c r="E22" s="122"/>
      <c r="F22" s="122"/>
      <c r="G22" s="122"/>
      <c r="H22" s="129">
        <f t="shared" si="0"/>
        <v>0</v>
      </c>
      <c r="J22" s="234" t="s">
        <v>114</v>
      </c>
      <c r="L22" s="106">
        <v>0</v>
      </c>
      <c r="M22" s="106">
        <v>0</v>
      </c>
      <c r="N22" s="106">
        <v>0</v>
      </c>
      <c r="O22" s="106">
        <v>10000</v>
      </c>
      <c r="R22" s="226"/>
    </row>
    <row r="23" spans="1:18" ht="15.75" thickBot="1">
      <c r="A23" s="123"/>
      <c r="B23" s="231"/>
      <c r="C23" s="232"/>
      <c r="D23" s="122"/>
      <c r="E23" s="122"/>
      <c r="F23" s="122"/>
      <c r="G23" s="122"/>
      <c r="H23" s="129">
        <f t="shared" si="0"/>
        <v>0</v>
      </c>
      <c r="J23" s="124" t="s">
        <v>104</v>
      </c>
      <c r="L23" s="106">
        <v>0</v>
      </c>
      <c r="M23" s="106">
        <v>0</v>
      </c>
      <c r="N23" s="106">
        <v>0</v>
      </c>
      <c r="O23" s="106">
        <v>0</v>
      </c>
      <c r="R23" s="226"/>
    </row>
    <row r="24" spans="1:18" ht="15.75" thickBot="1">
      <c r="A24" s="123"/>
      <c r="B24" s="231"/>
      <c r="C24" s="232"/>
      <c r="D24" s="122"/>
      <c r="E24" s="122"/>
      <c r="F24" s="122"/>
      <c r="G24" s="122"/>
      <c r="H24" s="129">
        <f t="shared" si="0"/>
        <v>0</v>
      </c>
      <c r="J24" s="124" t="s">
        <v>109</v>
      </c>
      <c r="L24" s="106">
        <v>0</v>
      </c>
      <c r="M24" s="106">
        <v>0</v>
      </c>
      <c r="N24" s="106">
        <v>0</v>
      </c>
      <c r="O24" s="106">
        <v>0</v>
      </c>
      <c r="R24" s="226"/>
    </row>
    <row r="25" spans="1:18" ht="15.75" thickBot="1">
      <c r="A25" s="123"/>
      <c r="B25" s="231"/>
      <c r="C25" s="232"/>
      <c r="D25" s="122"/>
      <c r="E25" s="122"/>
      <c r="F25" s="122"/>
      <c r="G25" s="122"/>
      <c r="H25" s="129">
        <f t="shared" si="0"/>
        <v>0</v>
      </c>
      <c r="J25" s="124" t="s">
        <v>110</v>
      </c>
      <c r="L25" s="106">
        <v>0</v>
      </c>
      <c r="M25" s="106">
        <v>0</v>
      </c>
      <c r="N25" s="106">
        <v>0</v>
      </c>
      <c r="O25" s="106">
        <v>0</v>
      </c>
      <c r="R25" s="226"/>
    </row>
    <row r="26" spans="1:18" ht="15.75" thickBot="1">
      <c r="A26" s="123"/>
      <c r="B26" s="231"/>
      <c r="C26" s="232"/>
      <c r="D26" s="122"/>
      <c r="E26" s="122"/>
      <c r="F26" s="122"/>
      <c r="G26" s="122"/>
      <c r="H26" s="129">
        <f t="shared" si="0"/>
        <v>0</v>
      </c>
      <c r="J26" s="124" t="s">
        <v>111</v>
      </c>
      <c r="L26" s="106">
        <v>0</v>
      </c>
      <c r="M26" s="106">
        <v>0</v>
      </c>
      <c r="N26" s="106">
        <v>0</v>
      </c>
      <c r="O26" s="106">
        <v>0</v>
      </c>
      <c r="R26" s="226"/>
    </row>
    <row r="27" spans="1:18" ht="15.75" thickBot="1">
      <c r="A27" s="123"/>
      <c r="B27" s="231"/>
      <c r="C27" s="232"/>
      <c r="D27" s="122"/>
      <c r="E27" s="122"/>
      <c r="F27" s="122"/>
      <c r="G27" s="122"/>
      <c r="H27" s="129">
        <f t="shared" si="0"/>
        <v>0</v>
      </c>
      <c r="J27" s="124" t="s">
        <v>115</v>
      </c>
      <c r="L27" s="106">
        <v>0</v>
      </c>
      <c r="M27" s="106">
        <v>0</v>
      </c>
      <c r="N27" s="106">
        <v>0</v>
      </c>
      <c r="O27" s="106">
        <v>0</v>
      </c>
      <c r="R27" s="226"/>
    </row>
    <row r="28" spans="1:18" ht="15.75" thickBot="1">
      <c r="A28" s="123"/>
      <c r="B28" s="231" t="s">
        <v>116</v>
      </c>
      <c r="C28" s="232"/>
      <c r="D28" s="122"/>
      <c r="E28" s="122"/>
      <c r="F28" s="122"/>
      <c r="G28" s="122"/>
      <c r="H28" s="129">
        <f t="shared" si="0"/>
        <v>0</v>
      </c>
      <c r="J28" s="237" t="s">
        <v>112</v>
      </c>
      <c r="K28" s="236"/>
      <c r="L28" s="235">
        <f>SUM(L17:L27)</f>
        <v>0</v>
      </c>
      <c r="M28" s="235">
        <f>SUM(M17:M27)</f>
        <v>0</v>
      </c>
      <c r="N28" s="235">
        <f>SUM(N17:N27)</f>
        <v>0</v>
      </c>
      <c r="O28" s="235">
        <f>SUM(O17:O27)</f>
        <v>23000</v>
      </c>
      <c r="R28" s="226"/>
    </row>
    <row r="29" spans="1:18" ht="15.75" thickBot="1">
      <c r="A29" s="123"/>
      <c r="B29" s="252" t="s">
        <v>42</v>
      </c>
      <c r="C29" s="253"/>
      <c r="D29" s="122"/>
      <c r="E29" s="122"/>
      <c r="F29" s="122"/>
      <c r="G29" s="122"/>
      <c r="H29" s="129">
        <f t="shared" si="0"/>
        <v>0</v>
      </c>
      <c r="J29" s="128" t="s">
        <v>41</v>
      </c>
      <c r="K29" s="112"/>
      <c r="L29" s="233">
        <f>SUM(L16-L28)</f>
        <v>0</v>
      </c>
      <c r="M29" s="233">
        <f>SUM(M16-M28)</f>
        <v>0</v>
      </c>
      <c r="N29" s="233">
        <f>SUM(N16-N28)</f>
        <v>0</v>
      </c>
      <c r="O29" s="233">
        <f>SUM(O16-O28)</f>
        <v>177000</v>
      </c>
      <c r="R29" s="226"/>
    </row>
    <row r="30" spans="1:18" ht="15.75" thickBot="1">
      <c r="A30" s="123"/>
      <c r="B30" s="252" t="s">
        <v>39</v>
      </c>
      <c r="C30" s="253"/>
      <c r="D30" s="122"/>
      <c r="E30" s="122"/>
      <c r="F30" s="122"/>
      <c r="G30" s="122">
        <v>200000</v>
      </c>
      <c r="H30" s="129">
        <f t="shared" si="0"/>
        <v>200000</v>
      </c>
      <c r="J30" s="126" t="s">
        <v>38</v>
      </c>
      <c r="K30" s="127"/>
      <c r="L30" s="106">
        <v>0</v>
      </c>
      <c r="M30" s="106">
        <v>0</v>
      </c>
      <c r="N30" s="106">
        <v>0</v>
      </c>
      <c r="O30" s="106">
        <v>0</v>
      </c>
      <c r="R30" s="226"/>
    </row>
    <row r="31" spans="1:18" ht="15.75" thickBot="1">
      <c r="A31" s="123"/>
      <c r="B31" s="116" t="s">
        <v>117</v>
      </c>
      <c r="C31" s="115"/>
      <c r="D31" s="122"/>
      <c r="E31" s="122"/>
      <c r="F31" s="122"/>
      <c r="G31" s="122"/>
      <c r="H31" s="129">
        <f t="shared" si="0"/>
        <v>0</v>
      </c>
      <c r="J31" s="126" t="s">
        <v>40</v>
      </c>
      <c r="K31" s="127"/>
      <c r="L31" s="106">
        <v>0</v>
      </c>
      <c r="M31" s="106">
        <v>0</v>
      </c>
      <c r="N31" s="106">
        <v>0</v>
      </c>
      <c r="O31" s="106">
        <v>0</v>
      </c>
      <c r="R31" s="226"/>
    </row>
    <row r="32" spans="1:18" ht="15.75" thickBot="1">
      <c r="A32" s="123"/>
      <c r="B32" s="252" t="s">
        <v>37</v>
      </c>
      <c r="C32" s="253"/>
      <c r="D32" s="122"/>
      <c r="E32" s="122"/>
      <c r="F32" s="122"/>
      <c r="G32" s="122">
        <v>300000</v>
      </c>
      <c r="H32" s="129">
        <f t="shared" si="0"/>
        <v>300000</v>
      </c>
      <c r="J32" s="121" t="s">
        <v>36</v>
      </c>
      <c r="K32" s="112"/>
      <c r="L32" s="125">
        <f>SUM(L29:L31)</f>
        <v>0</v>
      </c>
      <c r="M32" s="125">
        <f>SUM(M29:M31)</f>
        <v>0</v>
      </c>
      <c r="N32" s="125">
        <f>SUM(N29:N31)</f>
        <v>0</v>
      </c>
      <c r="O32" s="125">
        <f>SUM(O29:O31)</f>
        <v>177000</v>
      </c>
      <c r="R32" s="226"/>
    </row>
    <row r="33" spans="1:18" ht="15.75" thickBot="1">
      <c r="A33" s="117"/>
      <c r="B33" s="116" t="s">
        <v>35</v>
      </c>
      <c r="C33" s="115"/>
      <c r="D33" s="114"/>
      <c r="E33" s="113"/>
      <c r="F33" s="113"/>
      <c r="G33" s="113"/>
      <c r="H33" s="129">
        <f t="shared" si="0"/>
        <v>0</v>
      </c>
      <c r="J33" s="30"/>
      <c r="O33" s="120"/>
      <c r="R33" s="226"/>
    </row>
    <row r="34" spans="1:18" ht="15.75" thickBot="1">
      <c r="A34" s="111"/>
      <c r="B34" s="110" t="s">
        <v>34</v>
      </c>
      <c r="C34" s="109"/>
      <c r="D34" s="114"/>
      <c r="E34" s="113"/>
      <c r="F34" s="113"/>
      <c r="G34" s="113"/>
      <c r="H34" s="129">
        <f t="shared" si="0"/>
        <v>0</v>
      </c>
      <c r="J34" s="108" t="s">
        <v>33</v>
      </c>
      <c r="K34" s="112"/>
      <c r="L34" s="119">
        <f>$O$4*(L12/12)</f>
        <v>49374.525104158885</v>
      </c>
      <c r="M34" s="119">
        <f>$O$4*(M12/12)</f>
        <v>49374.525104158885</v>
      </c>
      <c r="N34" s="119">
        <f>$O$4*(N12/12)</f>
        <v>49374.525104158885</v>
      </c>
      <c r="O34" s="118">
        <f>$O$4*(O12/12)</f>
        <v>49374.525104158885</v>
      </c>
      <c r="R34" s="226"/>
    </row>
    <row r="35" spans="1:18" ht="15.75" thickBot="1">
      <c r="A35" s="117"/>
      <c r="B35" s="116" t="s">
        <v>32</v>
      </c>
      <c r="C35" s="115"/>
      <c r="D35" s="114"/>
      <c r="E35" s="113"/>
      <c r="F35" s="113"/>
      <c r="G35" s="113"/>
      <c r="H35" s="129">
        <f t="shared" si="0"/>
        <v>0</v>
      </c>
      <c r="J35" s="108" t="s">
        <v>31</v>
      </c>
      <c r="K35" s="112"/>
      <c r="L35" s="106">
        <v>0</v>
      </c>
      <c r="M35" s="106">
        <v>0</v>
      </c>
      <c r="N35" s="106">
        <v>0</v>
      </c>
      <c r="O35" s="105">
        <v>0</v>
      </c>
      <c r="R35" s="226"/>
    </row>
    <row r="36" spans="1:15" ht="13.5" thickBot="1">
      <c r="A36" s="104"/>
      <c r="B36" s="255"/>
      <c r="C36" s="256"/>
      <c r="D36" s="103"/>
      <c r="E36" s="103"/>
      <c r="F36" s="103"/>
      <c r="G36" s="103"/>
      <c r="H36" s="129">
        <f t="shared" si="0"/>
        <v>0</v>
      </c>
      <c r="J36" s="95" t="s">
        <v>30</v>
      </c>
      <c r="L36" s="94">
        <f>SUM(L34:L35)</f>
        <v>49374.525104158885</v>
      </c>
      <c r="M36" s="94">
        <f>SUM(M34:M35)</f>
        <v>49374.525104158885</v>
      </c>
      <c r="N36" s="94">
        <f>SUM(N34:N35)</f>
        <v>49374.525104158885</v>
      </c>
      <c r="O36" s="93">
        <f>SUM(O34:O35)</f>
        <v>49374.525104158885</v>
      </c>
    </row>
    <row r="37" spans="1:17" ht="12.75">
      <c r="A37" s="102"/>
      <c r="B37" s="101"/>
      <c r="C37" s="100" t="s">
        <v>29</v>
      </c>
      <c r="D37" s="97">
        <f>SUM(D17:D36)</f>
        <v>0</v>
      </c>
      <c r="E37" s="99">
        <f>SUM(E17:E36)</f>
        <v>0</v>
      </c>
      <c r="F37" s="98">
        <f>SUM(F17:F36)</f>
        <v>0</v>
      </c>
      <c r="G37" s="97">
        <f>SUM(G17:G36)</f>
        <v>500000</v>
      </c>
      <c r="H37" s="96">
        <f>SUM(D37:G37)</f>
        <v>500000</v>
      </c>
      <c r="J37" s="95" t="s">
        <v>28</v>
      </c>
      <c r="L37" s="94">
        <f>L32-L34</f>
        <v>-49374.525104158885</v>
      </c>
      <c r="M37" s="94">
        <f>M32-M34</f>
        <v>-49374.525104158885</v>
      </c>
      <c r="N37" s="94">
        <f>N32-N34</f>
        <v>-49374.525104158885</v>
      </c>
      <c r="O37" s="94">
        <f>O32-O34</f>
        <v>127625.47489584112</v>
      </c>
      <c r="Q37" s="81"/>
    </row>
    <row r="38" spans="1:17" ht="12.75" hidden="1">
      <c r="A38" s="35" t="s">
        <v>27</v>
      </c>
      <c r="B38" s="84"/>
      <c r="C38" s="92" t="e">
        <f>(H17/H37)*A17+(H29/H37)*A29+(#REF!/H37)*#REF!+(H30/H37)*A30+(#REF!/H37)*#REF!+(#REF!/H37)*#REF!+(#REF!/H37)*#REF!+(H32/H37)*A32+(#REF!/H37)*#REF!+(#REF!/H37)*#REF!+(#REF!/H37)*#REF!+(#REF!/H37)*#REF!+(H33/H37)*A33+(H34/H37)*A34+(#REF!/H37)*#REF!+(H35/H37)*A35+(H36/H37)*A36</f>
        <v>#REF!</v>
      </c>
      <c r="D38" s="29"/>
      <c r="E38" s="29"/>
      <c r="F38" s="29"/>
      <c r="G38" s="29"/>
      <c r="H38" s="28"/>
      <c r="L38" s="29"/>
      <c r="M38" s="29"/>
      <c r="N38" s="29"/>
      <c r="O38" s="29"/>
      <c r="Q38" s="81"/>
    </row>
    <row r="39" spans="1:17" ht="13.5" thickBot="1">
      <c r="A39" s="26"/>
      <c r="B39" s="91"/>
      <c r="C39" s="90"/>
      <c r="D39" s="89">
        <f>D37/$H$37</f>
        <v>0</v>
      </c>
      <c r="E39" s="89">
        <f>E37/$H$37</f>
        <v>0</v>
      </c>
      <c r="F39" s="89">
        <f>F37/$H$37</f>
        <v>0</v>
      </c>
      <c r="G39" s="89">
        <f>G37/$H$37</f>
        <v>1</v>
      </c>
      <c r="H39" s="88">
        <f>H37/$H$37</f>
        <v>1</v>
      </c>
      <c r="J39" s="87" t="s">
        <v>26</v>
      </c>
      <c r="K39" s="86"/>
      <c r="L39" s="85">
        <f>L32/L36</f>
        <v>0</v>
      </c>
      <c r="M39" s="85">
        <f>M32/M36</f>
        <v>0</v>
      </c>
      <c r="N39" s="85">
        <f>N32/N36</f>
        <v>0</v>
      </c>
      <c r="O39" s="85">
        <f>O32/O36</f>
        <v>3.5848446061325467</v>
      </c>
      <c r="Q39" s="81"/>
    </row>
    <row r="40" spans="1:17" ht="13.5" thickBot="1">
      <c r="A40" s="84"/>
      <c r="B40" s="84"/>
      <c r="C40" s="83"/>
      <c r="D40" s="82"/>
      <c r="E40" s="82"/>
      <c r="F40" s="82"/>
      <c r="G40" s="82"/>
      <c r="H40" s="82"/>
      <c r="Q40" s="81"/>
    </row>
    <row r="41" spans="1:15" ht="13.5" thickBot="1">
      <c r="A41" s="80" t="s">
        <v>25</v>
      </c>
      <c r="B41" s="79"/>
      <c r="C41" s="78"/>
      <c r="D41" s="78" t="s">
        <v>24</v>
      </c>
      <c r="E41" s="78" t="s">
        <v>23</v>
      </c>
      <c r="F41" s="77" t="s">
        <v>17</v>
      </c>
      <c r="G41" s="77" t="s">
        <v>22</v>
      </c>
      <c r="H41" s="76"/>
      <c r="I41" s="69"/>
      <c r="J41" s="75" t="s">
        <v>21</v>
      </c>
      <c r="K41" s="74"/>
      <c r="L41" s="73"/>
      <c r="M41" s="73"/>
      <c r="N41" s="73"/>
      <c r="O41" s="72"/>
    </row>
    <row r="42" spans="1:19" ht="12.75">
      <c r="A42" s="35"/>
      <c r="B42" s="40"/>
      <c r="C42" s="40" t="s">
        <v>20</v>
      </c>
      <c r="D42" s="40" t="s">
        <v>17</v>
      </c>
      <c r="E42" s="40" t="s">
        <v>19</v>
      </c>
      <c r="F42" s="71" t="s">
        <v>18</v>
      </c>
      <c r="G42" s="71" t="s">
        <v>17</v>
      </c>
      <c r="H42" s="70" t="s">
        <v>16</v>
      </c>
      <c r="I42" s="69"/>
      <c r="J42" s="238" t="s">
        <v>15</v>
      </c>
      <c r="K42" s="239"/>
      <c r="L42" s="239"/>
      <c r="M42" s="239"/>
      <c r="N42" s="239"/>
      <c r="O42" s="240"/>
      <c r="R42" s="61"/>
      <c r="S42" s="61"/>
    </row>
    <row r="43" spans="1:19" ht="12.75">
      <c r="A43" s="274" t="s">
        <v>14</v>
      </c>
      <c r="B43" s="275"/>
      <c r="C43" s="58">
        <v>400000</v>
      </c>
      <c r="D43" s="57">
        <v>670000</v>
      </c>
      <c r="E43" s="56"/>
      <c r="F43" s="55"/>
      <c r="G43" s="54">
        <f>(D43*H43)-E43</f>
        <v>536000</v>
      </c>
      <c r="H43" s="53">
        <f>IF(G37&lt;&gt;0,80%,75%)</f>
        <v>0.8</v>
      </c>
      <c r="I43" s="41"/>
      <c r="J43" s="241"/>
      <c r="K43" s="242"/>
      <c r="L43" s="242"/>
      <c r="M43" s="242"/>
      <c r="N43" s="242"/>
      <c r="O43" s="243"/>
      <c r="P43" s="18"/>
      <c r="Q43" s="18"/>
      <c r="R43" s="61"/>
      <c r="S43" s="61"/>
    </row>
    <row r="44" spans="1:19" ht="12.75">
      <c r="A44" s="276"/>
      <c r="B44" s="277"/>
      <c r="C44" s="52"/>
      <c r="D44" s="60"/>
      <c r="E44" s="59"/>
      <c r="F44" s="49"/>
      <c r="G44" s="49"/>
      <c r="H44" s="48"/>
      <c r="I44" s="41"/>
      <c r="J44" s="241"/>
      <c r="K44" s="242"/>
      <c r="L44" s="242"/>
      <c r="M44" s="242"/>
      <c r="N44" s="242"/>
      <c r="O44" s="243"/>
      <c r="P44" s="18"/>
      <c r="Q44" s="18"/>
      <c r="R44" s="61"/>
      <c r="S44" s="61"/>
    </row>
    <row r="45" spans="1:19" ht="12.75">
      <c r="A45" s="274" t="s">
        <v>13</v>
      </c>
      <c r="B45" s="275"/>
      <c r="C45" s="58">
        <v>0</v>
      </c>
      <c r="D45" s="57">
        <v>0</v>
      </c>
      <c r="E45" s="56">
        <v>0</v>
      </c>
      <c r="F45" s="55"/>
      <c r="G45" s="54">
        <f>(D45*H45)-E45</f>
        <v>0</v>
      </c>
      <c r="H45" s="53">
        <f>IF(G37&lt;&gt;0,80%,75%)</f>
        <v>0.8</v>
      </c>
      <c r="I45" s="41"/>
      <c r="J45" s="241"/>
      <c r="K45" s="242"/>
      <c r="L45" s="242"/>
      <c r="M45" s="242"/>
      <c r="N45" s="242"/>
      <c r="O45" s="243"/>
      <c r="P45" s="18"/>
      <c r="Q45" s="18"/>
      <c r="R45" s="61"/>
      <c r="S45" s="61"/>
    </row>
    <row r="46" spans="1:19" ht="12.75">
      <c r="A46" s="276"/>
      <c r="B46" s="277"/>
      <c r="C46" s="52"/>
      <c r="D46" s="60"/>
      <c r="E46" s="59"/>
      <c r="F46" s="49"/>
      <c r="G46" s="49"/>
      <c r="H46" s="48"/>
      <c r="I46" s="41"/>
      <c r="J46" s="241"/>
      <c r="K46" s="242"/>
      <c r="L46" s="242"/>
      <c r="M46" s="242"/>
      <c r="N46" s="242"/>
      <c r="O46" s="243"/>
      <c r="P46" s="18"/>
      <c r="Q46" s="18"/>
      <c r="R46" s="61"/>
      <c r="S46" s="61"/>
    </row>
    <row r="47" spans="1:19" ht="12.75">
      <c r="A47" s="274" t="s">
        <v>12</v>
      </c>
      <c r="B47" s="275"/>
      <c r="C47" s="66">
        <v>0</v>
      </c>
      <c r="D47" s="65">
        <v>0</v>
      </c>
      <c r="E47" s="68">
        <v>0</v>
      </c>
      <c r="F47" s="63"/>
      <c r="G47" s="67">
        <f>(D47*H47)-E47</f>
        <v>0</v>
      </c>
      <c r="H47" s="62">
        <v>0.5</v>
      </c>
      <c r="I47" s="41"/>
      <c r="J47" s="241"/>
      <c r="K47" s="242"/>
      <c r="L47" s="242"/>
      <c r="M47" s="242"/>
      <c r="N47" s="242"/>
      <c r="O47" s="243"/>
      <c r="P47" s="18"/>
      <c r="Q47" s="18"/>
      <c r="R47" s="61"/>
      <c r="S47" s="61"/>
    </row>
    <row r="48" spans="1:19" ht="12.75">
      <c r="A48" s="276"/>
      <c r="B48" s="277"/>
      <c r="C48" s="66"/>
      <c r="D48" s="65"/>
      <c r="E48" s="64"/>
      <c r="F48" s="63"/>
      <c r="G48" s="63"/>
      <c r="H48" s="62"/>
      <c r="I48" s="41"/>
      <c r="J48" s="241"/>
      <c r="K48" s="242"/>
      <c r="L48" s="242"/>
      <c r="M48" s="242"/>
      <c r="N48" s="242"/>
      <c r="O48" s="243"/>
      <c r="P48" s="18"/>
      <c r="Q48" s="18"/>
      <c r="R48" s="61"/>
      <c r="S48" s="61"/>
    </row>
    <row r="49" spans="1:19" ht="12.75">
      <c r="A49" s="274" t="s">
        <v>11</v>
      </c>
      <c r="B49" s="275"/>
      <c r="C49" s="58">
        <v>0</v>
      </c>
      <c r="D49" s="57">
        <v>0</v>
      </c>
      <c r="E49" s="56">
        <v>0</v>
      </c>
      <c r="F49" s="55"/>
      <c r="G49" s="54">
        <f>(D49*H49)-E49</f>
        <v>0</v>
      </c>
      <c r="H49" s="53">
        <v>0.15</v>
      </c>
      <c r="I49" s="41"/>
      <c r="J49" s="241"/>
      <c r="K49" s="242"/>
      <c r="L49" s="242"/>
      <c r="M49" s="242"/>
      <c r="N49" s="242"/>
      <c r="O49" s="243"/>
      <c r="P49" s="18"/>
      <c r="Q49" s="18"/>
      <c r="R49" s="61"/>
      <c r="S49" s="61"/>
    </row>
    <row r="50" spans="1:17" ht="12.75">
      <c r="A50" s="276"/>
      <c r="B50" s="277"/>
      <c r="C50" s="52"/>
      <c r="D50" s="60"/>
      <c r="E50" s="59"/>
      <c r="F50" s="49"/>
      <c r="G50" s="49"/>
      <c r="H50" s="48"/>
      <c r="I50" s="41"/>
      <c r="J50" s="241"/>
      <c r="K50" s="242"/>
      <c r="L50" s="242"/>
      <c r="M50" s="242"/>
      <c r="N50" s="242"/>
      <c r="O50" s="243"/>
      <c r="P50" s="18"/>
      <c r="Q50" s="18"/>
    </row>
    <row r="51" spans="1:17" ht="12.75">
      <c r="A51" s="274" t="s">
        <v>10</v>
      </c>
      <c r="B51" s="275"/>
      <c r="C51" s="58">
        <v>0</v>
      </c>
      <c r="D51" s="57">
        <v>0</v>
      </c>
      <c r="E51" s="56">
        <v>0</v>
      </c>
      <c r="F51" s="55"/>
      <c r="G51" s="54">
        <f>(D51*H51)-E51</f>
        <v>0</v>
      </c>
      <c r="H51" s="53">
        <v>0.15</v>
      </c>
      <c r="I51" s="41"/>
      <c r="J51" s="241"/>
      <c r="K51" s="242"/>
      <c r="L51" s="242"/>
      <c r="M51" s="242"/>
      <c r="N51" s="242"/>
      <c r="O51" s="243"/>
      <c r="P51" s="18"/>
      <c r="Q51" s="18"/>
    </row>
    <row r="52" spans="1:17" ht="12.75">
      <c r="A52" s="276"/>
      <c r="B52" s="277"/>
      <c r="C52" s="52"/>
      <c r="D52" s="51"/>
      <c r="E52" s="50"/>
      <c r="F52" s="49"/>
      <c r="G52" s="49"/>
      <c r="H52" s="48"/>
      <c r="I52" s="41"/>
      <c r="J52" s="241"/>
      <c r="K52" s="242"/>
      <c r="L52" s="242"/>
      <c r="M52" s="242"/>
      <c r="N52" s="242"/>
      <c r="O52" s="243"/>
      <c r="P52" s="18"/>
      <c r="Q52" s="18"/>
    </row>
    <row r="53" spans="1:17" ht="12.75">
      <c r="A53" s="35" t="s">
        <v>9</v>
      </c>
      <c r="B53" s="40"/>
      <c r="C53" s="47">
        <f>C43+C45+C47+C49+C51</f>
        <v>400000</v>
      </c>
      <c r="D53" s="46">
        <f>D43+D45+D47+D49+D51</f>
        <v>670000</v>
      </c>
      <c r="E53" s="46">
        <f>E43+E45+E47+E49+E51</f>
        <v>0</v>
      </c>
      <c r="F53" s="45"/>
      <c r="G53" s="44">
        <f>G43+G45+G47+G49+G51</f>
        <v>536000</v>
      </c>
      <c r="H53" s="43"/>
      <c r="I53" s="41"/>
      <c r="J53" s="241"/>
      <c r="K53" s="242"/>
      <c r="L53" s="242"/>
      <c r="M53" s="242"/>
      <c r="N53" s="242"/>
      <c r="O53" s="243"/>
      <c r="P53" s="18"/>
      <c r="Q53" s="18"/>
    </row>
    <row r="54" spans="1:17" ht="12.75">
      <c r="A54" s="35" t="s">
        <v>101</v>
      </c>
      <c r="B54" s="40"/>
      <c r="C54" s="39">
        <f>G37</f>
        <v>500000</v>
      </c>
      <c r="D54" s="38">
        <f>+G37</f>
        <v>500000</v>
      </c>
      <c r="E54" s="37"/>
      <c r="F54" s="36"/>
      <c r="G54" s="32">
        <v>0</v>
      </c>
      <c r="H54" s="42"/>
      <c r="I54" s="41"/>
      <c r="J54" s="241"/>
      <c r="K54" s="242"/>
      <c r="L54" s="242"/>
      <c r="M54" s="242"/>
      <c r="N54" s="242"/>
      <c r="O54" s="243"/>
      <c r="P54" s="18"/>
      <c r="Q54" s="18"/>
    </row>
    <row r="55" spans="1:17" ht="12.75">
      <c r="A55" s="35" t="s">
        <v>97</v>
      </c>
      <c r="B55" s="40"/>
      <c r="C55" s="39">
        <f>F37</f>
        <v>0</v>
      </c>
      <c r="D55" s="38">
        <f>F37</f>
        <v>0</v>
      </c>
      <c r="E55" s="37"/>
      <c r="F55" s="36"/>
      <c r="G55" s="32">
        <f>F37</f>
        <v>0</v>
      </c>
      <c r="H55" s="31"/>
      <c r="I55" s="27"/>
      <c r="J55" s="241"/>
      <c r="K55" s="242"/>
      <c r="L55" s="242"/>
      <c r="M55" s="242"/>
      <c r="N55" s="242"/>
      <c r="O55" s="243"/>
      <c r="P55" s="18"/>
      <c r="Q55" s="18"/>
    </row>
    <row r="56" spans="1:17" ht="12.75">
      <c r="A56" s="35" t="s">
        <v>8</v>
      </c>
      <c r="C56" s="34">
        <f>C53-C54-C55</f>
        <v>-100000</v>
      </c>
      <c r="D56" s="34">
        <f>D53-D54-D55</f>
        <v>170000</v>
      </c>
      <c r="E56" s="33"/>
      <c r="F56" s="33"/>
      <c r="G56" s="32">
        <f>G53-G54-G55</f>
        <v>536000</v>
      </c>
      <c r="H56" s="31"/>
      <c r="I56" s="27"/>
      <c r="J56" s="241"/>
      <c r="K56" s="242"/>
      <c r="L56" s="242"/>
      <c r="M56" s="242"/>
      <c r="N56" s="242"/>
      <c r="O56" s="243"/>
      <c r="P56" s="18"/>
      <c r="Q56" s="18"/>
    </row>
    <row r="57" spans="1:17" ht="12.75">
      <c r="A57" s="30"/>
      <c r="C57" s="29"/>
      <c r="D57" s="29"/>
      <c r="E57" s="29"/>
      <c r="F57" s="29"/>
      <c r="G57" s="29"/>
      <c r="H57" s="28"/>
      <c r="I57" s="27"/>
      <c r="J57" s="241"/>
      <c r="K57" s="242"/>
      <c r="L57" s="242"/>
      <c r="M57" s="242"/>
      <c r="N57" s="242"/>
      <c r="O57" s="243"/>
      <c r="P57" s="18"/>
      <c r="Q57" s="18"/>
    </row>
    <row r="58" spans="1:17" ht="13.5" thickBot="1">
      <c r="A58" s="26" t="s">
        <v>7</v>
      </c>
      <c r="B58" s="25"/>
      <c r="C58" s="24">
        <f>IF(C54&lt;&gt;0,C54/(C53-E53),C55/(C53-E53))</f>
        <v>1.25</v>
      </c>
      <c r="D58" s="21">
        <f>IF(D54&lt;&gt;0,D54/(D53-E53),D55/(D53-E53))</f>
        <v>0.746268656716418</v>
      </c>
      <c r="E58" s="23"/>
      <c r="F58" s="22"/>
      <c r="G58" s="21">
        <f>IF(G54&lt;&gt;0,G54/G53,G55/G53)</f>
        <v>0</v>
      </c>
      <c r="H58" s="20"/>
      <c r="J58" s="244"/>
      <c r="K58" s="245"/>
      <c r="L58" s="245"/>
      <c r="M58" s="245"/>
      <c r="N58" s="245"/>
      <c r="O58" s="246"/>
      <c r="P58" s="18"/>
      <c r="Q58" s="18"/>
    </row>
    <row r="59" spans="1:17" ht="12.75">
      <c r="A59" s="19"/>
      <c r="P59" s="18"/>
      <c r="Q59" s="18"/>
    </row>
    <row r="60" spans="1:15" ht="13.5" hidden="1" thickBot="1">
      <c r="A60" s="17" t="s">
        <v>6</v>
      </c>
      <c r="B60" s="2"/>
      <c r="C60" s="16">
        <f>G37</f>
        <v>500000</v>
      </c>
      <c r="D60" s="15"/>
      <c r="E60" s="14"/>
      <c r="J60" s="13"/>
      <c r="K60" s="12"/>
      <c r="L60" s="12"/>
      <c r="M60" s="12"/>
      <c r="N60" s="12"/>
      <c r="O60" s="11"/>
    </row>
    <row r="61" spans="1:5" ht="13.5" hidden="1" thickBot="1">
      <c r="A61" s="5" t="s">
        <v>5</v>
      </c>
      <c r="B61" s="4"/>
      <c r="C61" s="10">
        <f>IF(C60&lt;=150000,85%,IF(C60*75%&lt;1500000,75%,1500000/C60))</f>
        <v>0.75</v>
      </c>
      <c r="D61" s="9">
        <f>IF(C60&gt;2000000,"Error-SBA Max Loan Exceeded","")</f>
      </c>
      <c r="E61" s="3"/>
    </row>
    <row r="62" spans="1:5" ht="13.5" hidden="1" thickBot="1">
      <c r="A62" s="5"/>
      <c r="B62" s="4"/>
      <c r="C62" s="4"/>
      <c r="D62" s="4"/>
      <c r="E62" s="3"/>
    </row>
    <row r="63" spans="1:5" ht="13.5" hidden="1" thickBot="1">
      <c r="A63" s="5" t="s">
        <v>4</v>
      </c>
      <c r="B63" s="4"/>
      <c r="C63" s="8">
        <f>C60*C61</f>
        <v>375000</v>
      </c>
      <c r="D63" s="4"/>
      <c r="E63" s="3"/>
    </row>
    <row r="64" spans="1:5" ht="13.5" hidden="1" thickBot="1">
      <c r="A64" s="5"/>
      <c r="B64" s="4"/>
      <c r="C64" s="4"/>
      <c r="D64" s="9">
        <f>IF(C63&gt;1000000,"Error-SBA Guarantee Max Exceeded","")</f>
      </c>
      <c r="E64" s="3"/>
    </row>
    <row r="65" spans="1:5" ht="13.5" hidden="1" thickBot="1">
      <c r="A65" s="5"/>
      <c r="B65" s="4"/>
      <c r="C65" s="4"/>
      <c r="D65" s="4"/>
      <c r="E65" s="3"/>
    </row>
    <row r="66" spans="1:5" ht="13.5" hidden="1" thickBot="1">
      <c r="A66" s="5" t="s">
        <v>3</v>
      </c>
      <c r="C66" s="8">
        <f>IF(C60&gt;150000,0,C63*D66)</f>
        <v>0</v>
      </c>
      <c r="D66" s="7">
        <v>0.02</v>
      </c>
      <c r="E66" s="6">
        <f>C66</f>
        <v>0</v>
      </c>
    </row>
    <row r="67" spans="1:5" ht="13.5" hidden="1" thickBot="1">
      <c r="A67" s="5" t="s">
        <v>2</v>
      </c>
      <c r="C67" s="8">
        <f>IF(C60&gt;150000,IF(C60&lt;=700000,C63*D67,0),0)</f>
        <v>11250</v>
      </c>
      <c r="D67" s="7">
        <v>0.03</v>
      </c>
      <c r="E67" s="6">
        <f>C67</f>
        <v>11250</v>
      </c>
    </row>
    <row r="68" spans="1:5" ht="13.5" hidden="1" thickBot="1">
      <c r="A68" s="5" t="s">
        <v>1</v>
      </c>
      <c r="C68" s="8">
        <f>IF(C60&gt;700000,IF(C60&lt;=1333333.33,C63*D68,0),0)</f>
        <v>0</v>
      </c>
      <c r="D68" s="7">
        <v>0.035</v>
      </c>
      <c r="E68" s="6">
        <f>C68</f>
        <v>0</v>
      </c>
    </row>
    <row r="69" spans="1:5" ht="13.5" hidden="1" thickBot="1">
      <c r="A69" s="5" t="s">
        <v>0</v>
      </c>
      <c r="C69" s="8">
        <f>IF(C60&gt;1333333.33,(C63-1000000)*D69+35000,0)</f>
        <v>0</v>
      </c>
      <c r="D69" s="7">
        <v>0.0375</v>
      </c>
      <c r="E69" s="6">
        <f>C69</f>
        <v>0</v>
      </c>
    </row>
    <row r="70" spans="1:5" ht="13.5" hidden="1" thickBot="1">
      <c r="A70" s="5"/>
      <c r="B70" s="4"/>
      <c r="C70" s="4"/>
      <c r="D70" s="4"/>
      <c r="E70" s="3"/>
    </row>
  </sheetData>
  <sheetProtection/>
  <mergeCells count="27">
    <mergeCell ref="B32:C32"/>
    <mergeCell ref="D11:E11"/>
    <mergeCell ref="D12:E12"/>
    <mergeCell ref="B12:C12"/>
    <mergeCell ref="B4:C4"/>
    <mergeCell ref="A51:B52"/>
    <mergeCell ref="A43:B44"/>
    <mergeCell ref="A45:B46"/>
    <mergeCell ref="A47:B48"/>
    <mergeCell ref="A49:B50"/>
    <mergeCell ref="B11:C11"/>
    <mergeCell ref="B5:C5"/>
    <mergeCell ref="D9:E9"/>
    <mergeCell ref="D10:E10"/>
    <mergeCell ref="B9:C9"/>
    <mergeCell ref="F9:H9"/>
    <mergeCell ref="F10:H10"/>
    <mergeCell ref="J42:O58"/>
    <mergeCell ref="N1:O1"/>
    <mergeCell ref="L1:M1"/>
    <mergeCell ref="B17:C17"/>
    <mergeCell ref="B29:C29"/>
    <mergeCell ref="B10:C10"/>
    <mergeCell ref="B30:C30"/>
    <mergeCell ref="B36:C36"/>
    <mergeCell ref="F12:H12"/>
    <mergeCell ref="F11:H11"/>
  </mergeCells>
  <dataValidations count="1">
    <dataValidation type="list" allowBlank="1" showInputMessage="1" showErrorMessage="1" sqref="B5">
      <formula1>$AH$1:$AH$3</formula1>
    </dataValidation>
  </dataValidations>
  <printOptions/>
  <pageMargins left="0.5" right="0.5" top="0.75" bottom="0.5" header="0.5" footer="0.3"/>
  <pageSetup fitToHeight="1" fitToWidth="1" horizontalDpi="600" verticalDpi="600" orientation="landscape" scale="68" r:id="rId1"/>
  <headerFooter alignWithMargins="0">
    <oddFooter>&amp;R&amp;"Times New Roman,Regular"&amp;14BLX.BDO/RG 05/30/07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="85" zoomScaleNormal="85" zoomScalePageLayoutView="0" workbookViewId="0" topLeftCell="A1">
      <selection activeCell="G4" sqref="G4"/>
    </sheetView>
  </sheetViews>
  <sheetFormatPr defaultColWidth="9.140625" defaultRowHeight="12.75"/>
  <cols>
    <col min="1" max="1" width="21.00390625" style="184" customWidth="1"/>
    <col min="2" max="4" width="12.7109375" style="184" customWidth="1"/>
    <col min="5" max="5" width="12.00390625" style="184" customWidth="1"/>
    <col min="6" max="6" width="9.140625" style="184" customWidth="1"/>
    <col min="7" max="7" width="4.7109375" style="184" customWidth="1"/>
    <col min="8" max="16384" width="9.140625" style="184" customWidth="1"/>
  </cols>
  <sheetData>
    <row r="1" s="223" customFormat="1" ht="18" customHeight="1">
      <c r="A1" s="224" t="s">
        <v>95</v>
      </c>
    </row>
    <row r="2" spans="1:7" ht="12.75">
      <c r="A2" s="222" t="s">
        <v>68</v>
      </c>
      <c r="B2" s="278" t="str">
        <f>IF('Investment Property Spreads'!B4&lt;&gt;0,'Investment Property Spreads'!B4," ")</f>
        <v>Company ABC</v>
      </c>
      <c r="C2" s="278"/>
      <c r="D2" s="278"/>
      <c r="E2" s="221"/>
      <c r="F2" s="221"/>
      <c r="G2" s="221"/>
    </row>
    <row r="3" spans="1:7" ht="12.75">
      <c r="A3" s="220"/>
      <c r="B3" s="220"/>
      <c r="C3" s="219"/>
      <c r="D3" s="219"/>
      <c r="E3" s="9"/>
      <c r="F3" s="9"/>
      <c r="G3" s="9"/>
    </row>
    <row r="4" spans="1:3" ht="13.5" thickBot="1">
      <c r="A4" s="279" t="s">
        <v>94</v>
      </c>
      <c r="B4" s="279"/>
      <c r="C4" s="279"/>
    </row>
    <row r="5" spans="1:3" ht="12.75">
      <c r="A5" s="218"/>
      <c r="B5" s="217" t="s">
        <v>70</v>
      </c>
      <c r="C5" s="191" t="s">
        <v>77</v>
      </c>
    </row>
    <row r="6" spans="1:3" ht="12.75">
      <c r="A6" s="207" t="s">
        <v>93</v>
      </c>
      <c r="B6" s="206">
        <v>0</v>
      </c>
      <c r="C6" s="188">
        <v>0</v>
      </c>
    </row>
    <row r="7" spans="1:3" ht="12.75">
      <c r="A7" s="190" t="s">
        <v>92</v>
      </c>
      <c r="B7" s="204">
        <v>0</v>
      </c>
      <c r="C7" s="188">
        <v>0</v>
      </c>
    </row>
    <row r="8" spans="1:3" ht="12.75">
      <c r="A8" s="190" t="s">
        <v>91</v>
      </c>
      <c r="B8" s="204">
        <v>0</v>
      </c>
      <c r="C8" s="188">
        <v>0</v>
      </c>
    </row>
    <row r="9" spans="1:3" ht="12.75">
      <c r="A9" s="190" t="s">
        <v>90</v>
      </c>
      <c r="B9" s="204">
        <v>0</v>
      </c>
      <c r="C9" s="188">
        <v>0</v>
      </c>
    </row>
    <row r="10" spans="1:3" ht="12.75">
      <c r="A10" s="190" t="s">
        <v>90</v>
      </c>
      <c r="B10" s="204">
        <v>0</v>
      </c>
      <c r="C10" s="188">
        <v>0</v>
      </c>
    </row>
    <row r="11" spans="1:3" ht="12.75">
      <c r="A11" s="190" t="s">
        <v>89</v>
      </c>
      <c r="B11" s="204">
        <v>0</v>
      </c>
      <c r="C11" s="188">
        <v>0</v>
      </c>
    </row>
    <row r="12" spans="1:3" ht="12.75">
      <c r="A12" s="216" t="s">
        <v>89</v>
      </c>
      <c r="B12" s="215">
        <v>0</v>
      </c>
      <c r="C12" s="214">
        <v>0</v>
      </c>
    </row>
    <row r="13" spans="1:3" ht="12.75">
      <c r="A13" s="213" t="s">
        <v>78</v>
      </c>
      <c r="B13" s="212"/>
      <c r="C13" s="211"/>
    </row>
    <row r="14" spans="1:3" ht="12.75">
      <c r="A14" s="210" t="s">
        <v>88</v>
      </c>
      <c r="B14" s="209">
        <f>B43</f>
        <v>0</v>
      </c>
      <c r="C14" s="208">
        <f>C43</f>
        <v>0</v>
      </c>
    </row>
    <row r="15" spans="1:3" ht="12.75">
      <c r="A15" s="207" t="s">
        <v>43</v>
      </c>
      <c r="B15" s="206">
        <v>0</v>
      </c>
      <c r="C15" s="205">
        <v>0</v>
      </c>
    </row>
    <row r="16" spans="1:3" ht="12.75">
      <c r="A16" s="190" t="s">
        <v>43</v>
      </c>
      <c r="B16" s="204">
        <v>0</v>
      </c>
      <c r="C16" s="188">
        <v>0</v>
      </c>
    </row>
    <row r="17" spans="1:3" ht="12.75">
      <c r="A17" s="190" t="s">
        <v>43</v>
      </c>
      <c r="B17" s="204">
        <v>0</v>
      </c>
      <c r="C17" s="188">
        <v>0</v>
      </c>
    </row>
    <row r="18" spans="1:3" ht="12.75">
      <c r="A18" s="190" t="s">
        <v>43</v>
      </c>
      <c r="B18" s="204">
        <v>0</v>
      </c>
      <c r="C18" s="188">
        <v>0</v>
      </c>
    </row>
    <row r="19" spans="1:3" ht="12.75">
      <c r="A19" s="190"/>
      <c r="B19" s="204"/>
      <c r="C19" s="188"/>
    </row>
    <row r="20" spans="1:3" ht="12.75">
      <c r="A20" s="190"/>
      <c r="B20" s="204"/>
      <c r="C20" s="188"/>
    </row>
    <row r="21" spans="1:3" ht="12.75">
      <c r="A21" s="190" t="s">
        <v>87</v>
      </c>
      <c r="B21" s="203">
        <f>SUM(B6:B20)</f>
        <v>0</v>
      </c>
      <c r="C21" s="202">
        <f>SUM(C6:C20)</f>
        <v>0</v>
      </c>
    </row>
    <row r="22" spans="1:3" ht="13.5" thickBot="1">
      <c r="A22" s="201" t="s">
        <v>86</v>
      </c>
      <c r="B22" s="200">
        <v>0.45</v>
      </c>
      <c r="C22" s="184" t="s">
        <v>85</v>
      </c>
    </row>
    <row r="23" ht="12.75">
      <c r="C23" s="184" t="s">
        <v>84</v>
      </c>
    </row>
    <row r="25" spans="1:4" ht="12.75">
      <c r="A25" s="199" t="s">
        <v>83</v>
      </c>
      <c r="C25" s="198" t="s">
        <v>82</v>
      </c>
      <c r="D25" s="198" t="s">
        <v>81</v>
      </c>
    </row>
    <row r="26" spans="1:4" ht="12.75">
      <c r="A26" s="197" t="s">
        <v>70</v>
      </c>
      <c r="B26" s="196">
        <f>B21/B22</f>
        <v>0</v>
      </c>
      <c r="C26" s="198" t="s">
        <v>80</v>
      </c>
      <c r="D26" s="198" t="s">
        <v>79</v>
      </c>
    </row>
    <row r="27" spans="1:4" ht="12.75">
      <c r="A27" s="197" t="s">
        <v>69</v>
      </c>
      <c r="B27" s="196">
        <f>B26*12</f>
        <v>0</v>
      </c>
      <c r="C27" s="195">
        <v>0</v>
      </c>
      <c r="D27" s="194">
        <f>+B27-C27</f>
        <v>0</v>
      </c>
    </row>
    <row r="28" ht="13.5" thickBot="1"/>
    <row r="29" spans="1:3" ht="12.75">
      <c r="A29" s="193" t="s">
        <v>78</v>
      </c>
      <c r="B29" s="192" t="s">
        <v>70</v>
      </c>
      <c r="C29" s="191" t="s">
        <v>77</v>
      </c>
    </row>
    <row r="30" spans="1:3" ht="12.75">
      <c r="A30" s="190"/>
      <c r="B30" s="189"/>
      <c r="C30" s="188"/>
    </row>
    <row r="31" spans="1:3" ht="12.75">
      <c r="A31" s="190"/>
      <c r="B31" s="189"/>
      <c r="C31" s="188"/>
    </row>
    <row r="32" spans="1:3" ht="12.75">
      <c r="A32" s="190"/>
      <c r="B32" s="189"/>
      <c r="C32" s="188"/>
    </row>
    <row r="33" spans="1:3" ht="12.75">
      <c r="A33" s="190"/>
      <c r="B33" s="189"/>
      <c r="C33" s="188"/>
    </row>
    <row r="34" spans="1:3" ht="12.75">
      <c r="A34" s="190"/>
      <c r="B34" s="189"/>
      <c r="C34" s="188"/>
    </row>
    <row r="35" spans="1:3" ht="12.75">
      <c r="A35" s="190"/>
      <c r="B35" s="189"/>
      <c r="C35" s="188"/>
    </row>
    <row r="36" spans="1:3" ht="12.75">
      <c r="A36" s="190"/>
      <c r="B36" s="189"/>
      <c r="C36" s="188"/>
    </row>
    <row r="37" spans="1:3" ht="12.75">
      <c r="A37" s="190"/>
      <c r="B37" s="189"/>
      <c r="C37" s="188"/>
    </row>
    <row r="38" spans="1:3" ht="12.75">
      <c r="A38" s="190"/>
      <c r="B38" s="189"/>
      <c r="C38" s="188"/>
    </row>
    <row r="39" spans="1:3" ht="12.75">
      <c r="A39" s="190"/>
      <c r="B39" s="189"/>
      <c r="C39" s="188"/>
    </row>
    <row r="40" spans="1:3" ht="12.75">
      <c r="A40" s="190"/>
      <c r="B40" s="189"/>
      <c r="C40" s="188"/>
    </row>
    <row r="41" spans="1:3" ht="12.75">
      <c r="A41" s="190"/>
      <c r="B41" s="189"/>
      <c r="C41" s="188"/>
    </row>
    <row r="42" spans="1:3" ht="12.75">
      <c r="A42" s="190"/>
      <c r="B42" s="189"/>
      <c r="C42" s="188"/>
    </row>
    <row r="43" spans="1:3" ht="13.5" thickBot="1">
      <c r="A43" s="187" t="s">
        <v>29</v>
      </c>
      <c r="B43" s="186">
        <f>SUM(B30:B42)</f>
        <v>0</v>
      </c>
      <c r="C43" s="185">
        <f>SUM(C30:C42)</f>
        <v>0</v>
      </c>
    </row>
  </sheetData>
  <sheetProtection/>
  <mergeCells count="2">
    <mergeCell ref="B2:D2"/>
    <mergeCell ref="A4:C4"/>
  </mergeCells>
  <printOptions/>
  <pageMargins left="0.5" right="0.5" top="0.75" bottom="0.5" header="0.5" footer="0.3"/>
  <pageSetup fitToHeight="1" fitToWidth="1" horizontalDpi="600" verticalDpi="600" orientation="portrait" r:id="rId1"/>
  <headerFooter alignWithMargins="0">
    <oddFooter>&amp;R&amp;"Times New Roman,Regular"BLX.BDO/RG 05/30/07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Intellisites</dc:creator>
  <cp:keywords/>
  <dc:description/>
  <cp:lastModifiedBy>walte</cp:lastModifiedBy>
  <dcterms:created xsi:type="dcterms:W3CDTF">2010-07-22T18:42:49Z</dcterms:created>
  <dcterms:modified xsi:type="dcterms:W3CDTF">2019-12-18T20:23:47Z</dcterms:modified>
  <cp:category/>
  <cp:version/>
  <cp:contentType/>
  <cp:contentStatus/>
</cp:coreProperties>
</file>